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225" windowHeight="8130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>
    <definedName name="Annee">'Feuil1'!$F$6</definedName>
    <definedName name="Coef">'Feuil1'!$H$16:$H$27</definedName>
    <definedName name="IntBrutAnnee">'Feuil1'!$C$28</definedName>
    <definedName name="IntNetAnnee">'Feuil1'!#REF!</definedName>
    <definedName name="ModeArrondi">'[1]Param'!$G$2</definedName>
    <definedName name="NbDeci">'[1]Param'!$G$5</definedName>
    <definedName name="RCalcul">'[1]Param'!$C$10</definedName>
    <definedName name="Solde3112">'Feuil1'!$F$28</definedName>
    <definedName name="SoldeMaxi">'[1]JxLivret - 2007'!$C$9</definedName>
    <definedName name="SoldeMini">'[1]JxLivret - 2007'!$C$8</definedName>
    <definedName name="TauxCourant">'Feuil1'!$I$16:$I$27</definedName>
    <definedName name="TauxDeb">'Feuil1'!$F$7</definedName>
    <definedName name="TCalcul">'[1]Param'!$C$2:$C$4</definedName>
    <definedName name="TVCredit">'[1]Param'!$A$2:$A$8</definedName>
    <definedName name="ValCredit">'[1]Param'!$A$12</definedName>
    <definedName name="ValDebit">'[1]Param'!$B$12</definedName>
    <definedName name="ValPeriode">'Feuil1'!$F$9</definedName>
  </definedNames>
  <calcPr fullCalcOnLoad="1"/>
</workbook>
</file>

<file path=xl/sharedStrings.xml><?xml version="1.0" encoding="utf-8"?>
<sst xmlns="http://schemas.openxmlformats.org/spreadsheetml/2006/main" count="70" uniqueCount="14">
  <si>
    <t>Caractéristiques</t>
  </si>
  <si>
    <t>Année</t>
  </si>
  <si>
    <t>Taux d'intérêt au 1er janvier</t>
  </si>
  <si>
    <t>Solde de début au 1er janvier</t>
  </si>
  <si>
    <t>Saisie des opérations</t>
  </si>
  <si>
    <t>Calculs des intérêts</t>
  </si>
  <si>
    <t>Montant</t>
  </si>
  <si>
    <t>Taux</t>
  </si>
  <si>
    <t>Libellé</t>
  </si>
  <si>
    <t>Solde</t>
  </si>
  <si>
    <t>Date valeur</t>
  </si>
  <si>
    <t>Intérêts du mois</t>
  </si>
  <si>
    <t>Intérêts cumulés</t>
  </si>
  <si>
    <t>intérêts de l'année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</si>
</sst>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/\ mm"/>
    <numFmt numFmtId="165" formatCode="\+\ #,##0.00_ ;[Red]\-\ #,##0.00_ ;0.00_ "/>
    <numFmt numFmtId="166" formatCode="\+\ #,##0.00_ ;[Red]\-\ #,##0.00_ ;&quot;- &quot;"/>
    <numFmt numFmtId="167" formatCode="d\ mmm"/>
    <numFmt numFmtId="168" formatCode="dd/mm/yyyy;dd/mm/yyyy;&quot;-&quot;"/>
    <numFmt numFmtId="169" formatCode="0;0;&quot;-&quot;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  <numFmt numFmtId="173" formatCode="#,##0.00_ ;[Red]\-#,##0.00\ "/>
    <numFmt numFmtId="174" formatCode="mmm\-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b/>
      <sz val="12"/>
      <name val="Times New Roman"/>
      <family val="1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25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25"/>
      </right>
      <top style="thin">
        <color indexed="22"/>
      </top>
      <bottom style="thin">
        <color indexed="22"/>
      </bottom>
    </border>
    <border>
      <left style="medium">
        <color indexed="25"/>
      </left>
      <right style="thin">
        <color indexed="22"/>
      </right>
      <top style="thin">
        <color indexed="22"/>
      </top>
      <bottom style="medium">
        <color indexed="25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5"/>
      </bottom>
    </border>
    <border>
      <left>
        <color indexed="63"/>
      </left>
      <right style="thick">
        <color theme="1"/>
      </right>
      <top style="thin">
        <color indexed="22"/>
      </top>
      <bottom style="thin">
        <color indexed="22"/>
      </bottom>
    </border>
    <border>
      <left style="thick">
        <color theme="1"/>
      </left>
      <right>
        <color indexed="63"/>
      </right>
      <top style="thin">
        <color indexed="22"/>
      </top>
      <bottom style="thick">
        <color theme="1"/>
      </bottom>
    </border>
    <border>
      <left style="thick">
        <color theme="1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rgb="FFC00000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rgb="FFC00000"/>
      </top>
      <bottom>
        <color indexed="63"/>
      </bottom>
    </border>
    <border>
      <left style="medium">
        <color rgb="FFC00000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25"/>
      </left>
      <right style="medium">
        <color rgb="FFC00000"/>
      </right>
      <top>
        <color indexed="63"/>
      </top>
      <bottom>
        <color indexed="63"/>
      </bottom>
    </border>
    <border>
      <left style="medium">
        <color rgb="FFC00000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medium">
        <color indexed="25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medium">
        <color indexed="25"/>
      </bottom>
    </border>
    <border>
      <left style="medium">
        <color rgb="FFC00000"/>
      </left>
      <right style="medium">
        <color indexed="25"/>
      </right>
      <top style="medium">
        <color rgb="FFC00000"/>
      </top>
      <bottom style="medium">
        <color indexed="25"/>
      </bottom>
    </border>
    <border>
      <left style="thin">
        <color indexed="22"/>
      </left>
      <right style="medium">
        <color indexed="25"/>
      </right>
      <top style="thin">
        <color indexed="22"/>
      </top>
      <bottom style="medium">
        <color rgb="FFC00000"/>
      </bottom>
    </border>
    <border>
      <left style="thin">
        <color indexed="22"/>
      </left>
      <right style="medium">
        <color rgb="FFC00000"/>
      </right>
      <top style="thin">
        <color indexed="22"/>
      </top>
      <bottom style="medium">
        <color indexed="25"/>
      </bottom>
    </border>
    <border>
      <left style="medium">
        <color indexed="25"/>
      </left>
      <right style="thin">
        <color indexed="22"/>
      </right>
      <top style="medium">
        <color indexed="25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5"/>
      </top>
      <bottom style="thin">
        <color indexed="22"/>
      </bottom>
    </border>
    <border>
      <left style="thin">
        <color indexed="22"/>
      </left>
      <right>
        <color indexed="63"/>
      </right>
      <top style="medium">
        <color indexed="25"/>
      </top>
      <bottom style="thin">
        <color indexed="22"/>
      </bottom>
    </border>
    <border>
      <left style="thin">
        <color indexed="22"/>
      </left>
      <right style="medium">
        <color indexed="25"/>
      </right>
      <top style="medium">
        <color indexed="25"/>
      </top>
      <bottom style="thin">
        <color indexed="22"/>
      </bottom>
    </border>
    <border>
      <left>
        <color indexed="63"/>
      </left>
      <right style="thin">
        <color indexed="22"/>
      </right>
      <top style="medium">
        <color indexed="25"/>
      </top>
      <bottom style="thin">
        <color indexed="22"/>
      </bottom>
    </border>
    <border>
      <left style="thick">
        <color theme="1"/>
      </left>
      <right>
        <color indexed="63"/>
      </right>
      <top style="thick">
        <color theme="1"/>
      </top>
      <bottom style="thin">
        <color indexed="22"/>
      </bottom>
    </border>
    <border>
      <left>
        <color indexed="63"/>
      </left>
      <right style="thick">
        <color theme="1"/>
      </right>
      <top style="thick">
        <color theme="1"/>
      </top>
      <bottom style="thin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thick">
        <color theme="1"/>
      </right>
      <top style="thin">
        <color indexed="22"/>
      </top>
      <bottom style="thick">
        <color theme="1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168" fontId="3" fillId="0" borderId="0" applyFont="0" applyFill="0" applyBorder="0" applyAlignment="0" applyProtection="0"/>
    <xf numFmtId="0" fontId="3" fillId="0" borderId="0" applyFont="0" applyFill="0" applyBorder="0" applyAlignment="0">
      <protection/>
    </xf>
    <xf numFmtId="0" fontId="3" fillId="0" borderId="0" applyFont="0" applyFill="0" applyBorder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" fillId="31" borderId="0" applyFont="0" applyBorder="0" applyAlignment="0">
      <protection locked="0"/>
    </xf>
    <xf numFmtId="0" fontId="3" fillId="32" borderId="0" applyBorder="0">
      <alignment horizontal="center"/>
      <protection locked="0"/>
    </xf>
    <xf numFmtId="10" fontId="3" fillId="31" borderId="0" applyFont="0" applyBorder="0" applyAlignment="0">
      <protection locked="0"/>
    </xf>
    <xf numFmtId="0" fontId="33" fillId="33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4" borderId="9" applyNumberFormat="0" applyAlignment="0" applyProtection="0"/>
  </cellStyleXfs>
  <cellXfs count="61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164" fontId="2" fillId="35" borderId="10" xfId="0" applyNumberFormat="1" applyFont="1" applyFill="1" applyBorder="1" applyAlignment="1">
      <alignment horizontal="center" wrapText="1"/>
    </xf>
    <xf numFmtId="0" fontId="2" fillId="35" borderId="11" xfId="0" applyFont="1" applyFill="1" applyBorder="1" applyAlignment="1">
      <alignment horizontal="center" wrapText="1"/>
    </xf>
    <xf numFmtId="0" fontId="2" fillId="35" borderId="1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6" fillId="35" borderId="11" xfId="0" applyFont="1" applyFill="1" applyBorder="1" applyAlignment="1">
      <alignment horizontal="center" wrapText="1"/>
    </xf>
    <xf numFmtId="0" fontId="6" fillId="35" borderId="12" xfId="0" applyFont="1" applyFill="1" applyBorder="1" applyAlignment="1">
      <alignment horizontal="center" wrapText="1"/>
    </xf>
    <xf numFmtId="167" fontId="0" fillId="36" borderId="10" xfId="0" applyNumberFormat="1" applyFill="1" applyBorder="1" applyAlignment="1">
      <alignment horizontal="center"/>
    </xf>
    <xf numFmtId="165" fontId="0" fillId="36" borderId="12" xfId="42" applyNumberFormat="1" applyFont="1" applyFill="1" applyBorder="1" applyAlignment="1">
      <alignment/>
      <protection/>
    </xf>
    <xf numFmtId="10" fontId="0" fillId="36" borderId="11" xfId="0" applyNumberFormat="1" applyFill="1" applyBorder="1" applyAlignment="1">
      <alignment horizontal="center"/>
    </xf>
    <xf numFmtId="166" fontId="0" fillId="36" borderId="11" xfId="43" applyNumberFormat="1" applyFont="1" applyFill="1" applyBorder="1" applyAlignment="1">
      <alignment/>
    </xf>
    <xf numFmtId="166" fontId="0" fillId="36" borderId="12" xfId="43" applyNumberFormat="1" applyFont="1" applyFill="1" applyBorder="1" applyAlignment="1">
      <alignment/>
    </xf>
    <xf numFmtId="10" fontId="3" fillId="31" borderId="11" xfId="57" applyFont="1" applyBorder="1" applyAlignment="1">
      <alignment/>
      <protection locked="0"/>
    </xf>
    <xf numFmtId="10" fontId="3" fillId="31" borderId="11" xfId="57" applyBorder="1" applyAlignment="1">
      <alignment/>
      <protection locked="0"/>
    </xf>
    <xf numFmtId="167" fontId="0" fillId="36" borderId="13" xfId="0" applyNumberFormat="1" applyFill="1" applyBorder="1" applyAlignment="1">
      <alignment horizontal="center"/>
    </xf>
    <xf numFmtId="168" fontId="0" fillId="37" borderId="14" xfId="41" applyFont="1" applyFill="1" applyBorder="1" applyAlignment="1">
      <alignment/>
    </xf>
    <xf numFmtId="0" fontId="4" fillId="36" borderId="11" xfId="0" applyFont="1" applyFill="1" applyBorder="1" applyAlignment="1">
      <alignment horizontal="center"/>
    </xf>
    <xf numFmtId="0" fontId="0" fillId="31" borderId="11" xfId="0" applyFill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165" fontId="3" fillId="0" borderId="11" xfId="55" applyNumberFormat="1" applyFont="1" applyFill="1" applyBorder="1" applyAlignment="1" applyProtection="1">
      <alignment/>
      <protection/>
    </xf>
    <xf numFmtId="10" fontId="3" fillId="0" borderId="11" xfId="57" applyFont="1" applyFill="1" applyBorder="1" applyAlignment="1" applyProtection="1">
      <alignment/>
      <protection/>
    </xf>
    <xf numFmtId="0" fontId="8" fillId="0" borderId="0" xfId="0" applyFont="1" applyAlignment="1">
      <alignment horizontal="center"/>
    </xf>
    <xf numFmtId="173" fontId="0" fillId="0" borderId="0" xfId="0" applyNumberFormat="1" applyAlignment="1">
      <alignment horizontal="center"/>
    </xf>
    <xf numFmtId="168" fontId="0" fillId="0" borderId="13" xfId="41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4" fillId="31" borderId="15" xfId="55" applyNumberFormat="1" applyFont="1" applyBorder="1" applyAlignment="1">
      <alignment horizontal="center"/>
      <protection locked="0"/>
    </xf>
    <xf numFmtId="0" fontId="4" fillId="36" borderId="16" xfId="0" applyFont="1" applyFill="1" applyBorder="1" applyAlignment="1">
      <alignment horizontal="center"/>
    </xf>
    <xf numFmtId="164" fontId="0" fillId="36" borderId="17" xfId="0" applyNumberFormat="1" applyFont="1" applyFill="1" applyBorder="1" applyAlignment="1">
      <alignment horizontal="center"/>
    </xf>
    <xf numFmtId="0" fontId="0" fillId="36" borderId="17" xfId="0" applyFont="1" applyFill="1" applyBorder="1" applyAlignment="1">
      <alignment horizontal="center"/>
    </xf>
    <xf numFmtId="165" fontId="3" fillId="0" borderId="18" xfId="55" applyNumberFormat="1" applyFont="1" applyFill="1" applyBorder="1" applyAlignment="1" applyProtection="1">
      <alignment/>
      <protection/>
    </xf>
    <xf numFmtId="165" fontId="3" fillId="0" borderId="19" xfId="55" applyNumberFormat="1" applyFont="1" applyFill="1" applyBorder="1" applyAlignment="1" applyProtection="1">
      <alignment/>
      <protection/>
    </xf>
    <xf numFmtId="0" fontId="0" fillId="0" borderId="20" xfId="0" applyBorder="1" applyAlignment="1">
      <alignment/>
    </xf>
    <xf numFmtId="168" fontId="0" fillId="0" borderId="18" xfId="41" applyFont="1" applyFill="1" applyBorder="1" applyAlignment="1">
      <alignment horizontal="center"/>
    </xf>
    <xf numFmtId="0" fontId="6" fillId="35" borderId="21" xfId="0" applyFont="1" applyFill="1" applyBorder="1" applyAlignment="1">
      <alignment horizontal="center" wrapText="1"/>
    </xf>
    <xf numFmtId="169" fontId="0" fillId="36" borderId="22" xfId="0" applyNumberForma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6" fillId="35" borderId="22" xfId="0" applyFont="1" applyFill="1" applyBorder="1" applyAlignment="1">
      <alignment horizontal="center" wrapText="1"/>
    </xf>
    <xf numFmtId="0" fontId="0" fillId="0" borderId="23" xfId="0" applyBorder="1" applyAlignment="1">
      <alignment wrapText="1"/>
    </xf>
    <xf numFmtId="165" fontId="0" fillId="36" borderId="25" xfId="42" applyNumberFormat="1" applyFont="1" applyFill="1" applyBorder="1" applyAlignment="1">
      <alignment/>
      <protection/>
    </xf>
    <xf numFmtId="0" fontId="4" fillId="36" borderId="26" xfId="0" applyFont="1" applyFill="1" applyBorder="1" applyAlignment="1">
      <alignment horizontal="center"/>
    </xf>
    <xf numFmtId="165" fontId="42" fillId="38" borderId="27" xfId="42" applyNumberFormat="1" applyFont="1" applyFill="1" applyBorder="1" applyAlignment="1">
      <alignment/>
      <protection/>
    </xf>
    <xf numFmtId="166" fontId="0" fillId="39" borderId="26" xfId="0" applyNumberFormat="1" applyFill="1" applyBorder="1" applyAlignment="1">
      <alignment horizontal="center"/>
    </xf>
    <xf numFmtId="165" fontId="0" fillId="36" borderId="28" xfId="42" applyNumberFormat="1" applyFont="1" applyFill="1" applyBorder="1" applyAlignment="1">
      <alignment/>
      <protection/>
    </xf>
    <xf numFmtId="168" fontId="0" fillId="0" borderId="19" xfId="41" applyFont="1" applyFill="1" applyBorder="1" applyAlignment="1">
      <alignment horizontal="center"/>
    </xf>
    <xf numFmtId="166" fontId="0" fillId="39" borderId="29" xfId="0" applyNumberFormat="1" applyFill="1" applyBorder="1" applyAlignment="1">
      <alignment horizontal="center"/>
    </xf>
    <xf numFmtId="0" fontId="2" fillId="35" borderId="30" xfId="0" applyFont="1" applyFill="1" applyBorder="1" applyAlignment="1">
      <alignment horizontal="center"/>
    </xf>
    <xf numFmtId="0" fontId="2" fillId="35" borderId="31" xfId="0" applyFont="1" applyFill="1" applyBorder="1" applyAlignment="1">
      <alignment horizontal="center"/>
    </xf>
    <xf numFmtId="0" fontId="2" fillId="35" borderId="32" xfId="0" applyFont="1" applyFill="1" applyBorder="1" applyAlignment="1">
      <alignment horizontal="center"/>
    </xf>
    <xf numFmtId="164" fontId="2" fillId="35" borderId="30" xfId="0" applyNumberFormat="1" applyFont="1" applyFill="1" applyBorder="1" applyAlignment="1">
      <alignment horizontal="center"/>
    </xf>
    <xf numFmtId="164" fontId="2" fillId="35" borderId="31" xfId="0" applyNumberFormat="1" applyFont="1" applyFill="1" applyBorder="1" applyAlignment="1" quotePrefix="1">
      <alignment horizontal="center"/>
    </xf>
    <xf numFmtId="164" fontId="2" fillId="35" borderId="33" xfId="0" applyNumberFormat="1" applyFont="1" applyFill="1" applyBorder="1" applyAlignment="1" quotePrefix="1">
      <alignment horizontal="center"/>
    </xf>
    <xf numFmtId="0" fontId="2" fillId="35" borderId="34" xfId="0" applyFont="1" applyFill="1" applyBorder="1" applyAlignment="1">
      <alignment horizontal="center"/>
    </xf>
    <xf numFmtId="0" fontId="2" fillId="35" borderId="35" xfId="0" applyFont="1" applyFill="1" applyBorder="1" applyAlignment="1">
      <alignment horizontal="center"/>
    </xf>
    <xf numFmtId="0" fontId="2" fillId="35" borderId="36" xfId="0" applyFont="1" applyFill="1" applyBorder="1" applyAlignment="1">
      <alignment horizontal="center"/>
    </xf>
    <xf numFmtId="0" fontId="0" fillId="0" borderId="37" xfId="0" applyBorder="1" applyAlignment="1" applyProtection="1">
      <alignment/>
      <protection locked="0"/>
    </xf>
    <xf numFmtId="10" fontId="4" fillId="31" borderId="15" xfId="57" applyFont="1" applyBorder="1" applyAlignment="1">
      <alignment horizontal="center"/>
      <protection locked="0"/>
    </xf>
    <xf numFmtId="165" fontId="4" fillId="31" borderId="38" xfId="55" applyNumberFormat="1" applyFont="1" applyBorder="1" applyAlignment="1">
      <alignment horizontal="center"/>
      <protection locked="0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bDateNZ" xfId="41"/>
    <cellStyle name="CbMilliers" xfId="42"/>
    <cellStyle name="CbMilliersNZ" xfId="43"/>
    <cellStyle name="Cellule liée" xfId="44"/>
    <cellStyle name="Commentaire" xfId="45"/>
    <cellStyle name="Entrée" xfId="46"/>
    <cellStyle name="Insatisfaisant" xfId="47"/>
    <cellStyle name="Hyperlink" xfId="48"/>
    <cellStyle name="Comma" xfId="49"/>
    <cellStyle name="Comma [0]" xfId="50"/>
    <cellStyle name="Currency" xfId="51"/>
    <cellStyle name="Currency [0]" xfId="52"/>
    <cellStyle name="Neutre" xfId="53"/>
    <cellStyle name="Percent" xfId="54"/>
    <cellStyle name="SaisieCbMilliers" xfId="55"/>
    <cellStyle name="SaisieJJMM" xfId="56"/>
    <cellStyle name="SaisieTaux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1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  <fill>
        <patternFill>
          <bgColor indexed="25"/>
        </patternFill>
      </fill>
    </dxf>
    <dxf>
      <font>
        <color indexed="9"/>
      </font>
      <fill>
        <patternFill>
          <bgColor indexed="25"/>
        </patternFill>
      </fill>
    </dxf>
    <dxf>
      <font>
        <color rgb="FFFFFFFF"/>
      </font>
      <fill>
        <patternFill>
          <bgColor rgb="FF99336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ths-au-quotidien.perso.neuf.fr/DOCUME~1\MATTHI~1\LOCALS~1\Temp\Rar$DI00.152\JxLivretV2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xLivret - 2007"/>
      <sheetName val="Param"/>
    </sheetNames>
    <sheetDataSet>
      <sheetData sheetId="0">
        <row r="8">
          <cell r="C8">
            <v>0</v>
          </cell>
        </row>
        <row r="9">
          <cell r="C9">
            <v>15300</v>
          </cell>
        </row>
      </sheetData>
      <sheetData sheetId="1">
        <row r="2">
          <cell r="A2" t="str">
            <v>Quinzaine</v>
          </cell>
          <cell r="C2" t="str">
            <v>24 quinzaines</v>
          </cell>
          <cell r="G2">
            <v>1</v>
          </cell>
        </row>
        <row r="3">
          <cell r="A3" t="str">
            <v>J+0</v>
          </cell>
          <cell r="C3" t="str">
            <v>360 jours</v>
          </cell>
        </row>
        <row r="4">
          <cell r="A4" t="str">
            <v>J+1</v>
          </cell>
          <cell r="C4" t="str">
            <v>365/366 jours</v>
          </cell>
        </row>
        <row r="5">
          <cell r="A5" t="str">
            <v>J+2</v>
          </cell>
          <cell r="G5">
            <v>2</v>
          </cell>
        </row>
        <row r="6">
          <cell r="A6" t="str">
            <v>J+3</v>
          </cell>
        </row>
        <row r="7">
          <cell r="A7" t="str">
            <v>J+4</v>
          </cell>
        </row>
        <row r="8">
          <cell r="A8" t="str">
            <v>J+5</v>
          </cell>
        </row>
        <row r="10">
          <cell r="C10">
            <v>1</v>
          </cell>
        </row>
        <row r="12">
          <cell r="A12">
            <v>15</v>
          </cell>
          <cell r="B12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120"/>
  <sheetViews>
    <sheetView tabSelected="1" zoomScale="80" zoomScaleNormal="80" zoomScalePageLayoutView="0" workbookViewId="0" topLeftCell="A1">
      <selection activeCell="D10" sqref="D10"/>
    </sheetView>
  </sheetViews>
  <sheetFormatPr defaultColWidth="11.421875" defaultRowHeight="15"/>
  <cols>
    <col min="2" max="2" width="11.421875" style="1" customWidth="1"/>
    <col min="3" max="3" width="12.00390625" style="0" bestFit="1" customWidth="1"/>
    <col min="5" max="5" width="30.8515625" style="2" customWidth="1"/>
    <col min="6" max="6" width="11.7109375" style="0" bestFit="1" customWidth="1"/>
    <col min="8" max="9" width="11.57421875" style="0" bestFit="1" customWidth="1"/>
    <col min="10" max="10" width="11.421875" style="2" customWidth="1"/>
  </cols>
  <sheetData>
    <row r="3" ht="15"/>
    <row r="4" ht="15.75" thickBot="1"/>
    <row r="5" spans="5:6" ht="15.75" thickTop="1">
      <c r="E5" s="56" t="s">
        <v>0</v>
      </c>
      <c r="F5" s="57"/>
    </row>
    <row r="6" spans="5:6" ht="15">
      <c r="E6" s="30" t="s">
        <v>1</v>
      </c>
      <c r="F6" s="28">
        <v>2010</v>
      </c>
    </row>
    <row r="7" spans="5:6" ht="15">
      <c r="E7" s="31" t="s">
        <v>2</v>
      </c>
      <c r="F7" s="59">
        <v>0.0275</v>
      </c>
    </row>
    <row r="8" spans="5:6" ht="15.75" thickBot="1">
      <c r="E8" s="29" t="s">
        <v>3</v>
      </c>
      <c r="F8" s="60">
        <v>0</v>
      </c>
    </row>
    <row r="9" spans="2:10" ht="15.75" thickTop="1">
      <c r="B9"/>
      <c r="F9" s="24"/>
      <c r="J9"/>
    </row>
    <row r="10" spans="2:10" ht="15">
      <c r="B10"/>
      <c r="J10"/>
    </row>
    <row r="11" spans="2:10" ht="15">
      <c r="B11"/>
      <c r="C11" s="58"/>
      <c r="D11" s="58"/>
      <c r="E11" s="58"/>
      <c r="F11" s="58"/>
      <c r="J11"/>
    </row>
    <row r="12" spans="2:10" ht="15">
      <c r="B12"/>
      <c r="C12" s="58"/>
      <c r="D12" s="58"/>
      <c r="E12" s="58"/>
      <c r="F12" s="58"/>
      <c r="J12"/>
    </row>
    <row r="13" spans="2:10" ht="15.75" thickBot="1">
      <c r="B13" s="2"/>
      <c r="C13" s="3"/>
      <c r="E13"/>
      <c r="G13" s="2"/>
      <c r="J13"/>
    </row>
    <row r="14" spans="2:12" ht="15">
      <c r="B14" s="52" t="s">
        <v>4</v>
      </c>
      <c r="C14" s="53"/>
      <c r="D14" s="53"/>
      <c r="E14" s="53"/>
      <c r="F14" s="54"/>
      <c r="H14" s="49" t="s">
        <v>5</v>
      </c>
      <c r="I14" s="50"/>
      <c r="J14" s="50"/>
      <c r="K14" s="51"/>
      <c r="L14" s="39"/>
    </row>
    <row r="15" spans="2:11" s="7" customFormat="1" ht="26.25">
      <c r="B15" s="4" t="s">
        <v>10</v>
      </c>
      <c r="C15" s="5" t="s">
        <v>6</v>
      </c>
      <c r="D15" s="5" t="s">
        <v>7</v>
      </c>
      <c r="E15" s="5" t="s">
        <v>8</v>
      </c>
      <c r="F15" s="6" t="s">
        <v>9</v>
      </c>
      <c r="G15" s="41"/>
      <c r="H15" s="40" t="str">
        <f>"Coef / "&amp;ValPeriode</f>
        <v>Coef / </v>
      </c>
      <c r="I15" s="8" t="s">
        <v>7</v>
      </c>
      <c r="J15" s="8" t="s">
        <v>11</v>
      </c>
      <c r="K15" s="9" t="s">
        <v>12</v>
      </c>
    </row>
    <row r="16" spans="2:11" ht="15">
      <c r="B16" s="10">
        <f>DATE(Annee,1,1)</f>
        <v>40179</v>
      </c>
      <c r="C16" s="22">
        <v>274.9</v>
      </c>
      <c r="D16" s="23">
        <f>TauxDeb</f>
        <v>0.0275</v>
      </c>
      <c r="E16" s="19" t="str">
        <f>"Solde au "&amp;TEXT(DATE(Annee,1,1),"jj/mm/aaaa")</f>
        <v>Solde au 01/01/2010</v>
      </c>
      <c r="F16" s="11">
        <f>F8+C16</f>
        <v>274.9</v>
      </c>
      <c r="G16" s="38"/>
      <c r="H16" s="37">
        <v>24</v>
      </c>
      <c r="I16" s="12">
        <f>TauxDeb</f>
        <v>0.0275</v>
      </c>
      <c r="J16" s="13">
        <f>IF(H16&gt;19,F16*I16/12,0)</f>
        <v>0.6299791666666666</v>
      </c>
      <c r="K16" s="14">
        <f>J16</f>
        <v>0.6299791666666666</v>
      </c>
    </row>
    <row r="17" spans="2:11" ht="15">
      <c r="B17" s="10">
        <f>DATE(Annee,2,1)</f>
        <v>40210</v>
      </c>
      <c r="C17" s="22">
        <v>274.9</v>
      </c>
      <c r="D17" s="15"/>
      <c r="E17" s="20" t="str">
        <f>IF(C17&gt;0,"versement","retrait")</f>
        <v>versement</v>
      </c>
      <c r="F17" s="11">
        <f aca="true" t="shared" si="0" ref="F17:F27">F16+C17</f>
        <v>549.8</v>
      </c>
      <c r="G17" s="38"/>
      <c r="H17" s="37">
        <v>22</v>
      </c>
      <c r="I17" s="12">
        <f aca="true" t="shared" si="1" ref="I17:I27">IF(D17&gt;0,D17,I16)</f>
        <v>0.0275</v>
      </c>
      <c r="J17" s="13">
        <f>IF(H17&gt;19,F17*I17/12,0)</f>
        <v>1.2599583333333333</v>
      </c>
      <c r="K17" s="14">
        <f>K16+J17</f>
        <v>1.8899374999999998</v>
      </c>
    </row>
    <row r="18" spans="2:11" ht="15">
      <c r="B18" s="10">
        <f>DATE(Annee,3,1)</f>
        <v>40238</v>
      </c>
      <c r="C18" s="22">
        <v>274.9</v>
      </c>
      <c r="D18" s="16"/>
      <c r="E18" s="20" t="str">
        <f aca="true" t="shared" si="2" ref="E18:E27">IF(C18&gt;0,"versement","retrait")</f>
        <v>versement</v>
      </c>
      <c r="F18" s="11">
        <f t="shared" si="0"/>
        <v>824.6999999999999</v>
      </c>
      <c r="G18" s="38"/>
      <c r="H18" s="37">
        <v>20</v>
      </c>
      <c r="I18" s="12">
        <f t="shared" si="1"/>
        <v>0.0275</v>
      </c>
      <c r="J18" s="13">
        <f>IF(H18&gt;19,F18*I18/12,0)</f>
        <v>1.8899375</v>
      </c>
      <c r="K18" s="14">
        <f aca="true" t="shared" si="3" ref="K18:K27">K17+J18</f>
        <v>3.7798749999999997</v>
      </c>
    </row>
    <row r="19" spans="2:11" ht="15">
      <c r="B19" s="10">
        <f>DATE(Annee,4,1)</f>
        <v>40269</v>
      </c>
      <c r="C19" s="22">
        <v>274.9</v>
      </c>
      <c r="D19" s="16"/>
      <c r="E19" s="20" t="str">
        <f t="shared" si="2"/>
        <v>versement</v>
      </c>
      <c r="F19" s="11">
        <f t="shared" si="0"/>
        <v>1099.6</v>
      </c>
      <c r="G19" s="38"/>
      <c r="H19" s="37">
        <v>18</v>
      </c>
      <c r="I19" s="12">
        <f t="shared" si="1"/>
        <v>0.0275</v>
      </c>
      <c r="J19" s="13">
        <f aca="true" t="shared" si="4" ref="J19:J27">F19*I19/12</f>
        <v>2.5199166666666666</v>
      </c>
      <c r="K19" s="14">
        <f t="shared" si="3"/>
        <v>6.299791666666666</v>
      </c>
    </row>
    <row r="20" spans="2:11" ht="15">
      <c r="B20" s="10">
        <f>DATE(Annee,5,1)</f>
        <v>40299</v>
      </c>
      <c r="C20" s="22">
        <v>274.9</v>
      </c>
      <c r="D20" s="16"/>
      <c r="E20" s="20" t="str">
        <f t="shared" si="2"/>
        <v>versement</v>
      </c>
      <c r="F20" s="11">
        <f t="shared" si="0"/>
        <v>1374.5</v>
      </c>
      <c r="G20" s="38"/>
      <c r="H20" s="37">
        <v>16</v>
      </c>
      <c r="I20" s="12">
        <f t="shared" si="1"/>
        <v>0.0275</v>
      </c>
      <c r="J20" s="13">
        <f t="shared" si="4"/>
        <v>3.1498958333333333</v>
      </c>
      <c r="K20" s="14">
        <f t="shared" si="3"/>
        <v>9.4496875</v>
      </c>
    </row>
    <row r="21" spans="2:11" ht="15">
      <c r="B21" s="10">
        <f>DATE(Annee,6,1)</f>
        <v>40330</v>
      </c>
      <c r="C21" s="22">
        <v>274.9</v>
      </c>
      <c r="D21" s="16"/>
      <c r="E21" s="20" t="str">
        <f t="shared" si="2"/>
        <v>versement</v>
      </c>
      <c r="F21" s="11">
        <f t="shared" si="0"/>
        <v>1649.4</v>
      </c>
      <c r="G21" s="38"/>
      <c r="H21" s="37">
        <v>14</v>
      </c>
      <c r="I21" s="12">
        <f t="shared" si="1"/>
        <v>0.0275</v>
      </c>
      <c r="J21" s="13">
        <f t="shared" si="4"/>
        <v>3.779875</v>
      </c>
      <c r="K21" s="14">
        <f t="shared" si="3"/>
        <v>13.2295625</v>
      </c>
    </row>
    <row r="22" spans="2:11" ht="15">
      <c r="B22" s="10">
        <f>DATE(Annee,7,1)</f>
        <v>40360</v>
      </c>
      <c r="C22" s="22">
        <v>274.9</v>
      </c>
      <c r="D22" s="16"/>
      <c r="E22" s="20" t="str">
        <f t="shared" si="2"/>
        <v>versement</v>
      </c>
      <c r="F22" s="11">
        <f t="shared" si="0"/>
        <v>1924.3000000000002</v>
      </c>
      <c r="G22" s="38"/>
      <c r="H22" s="37">
        <v>12</v>
      </c>
      <c r="I22" s="12">
        <f t="shared" si="1"/>
        <v>0.0275</v>
      </c>
      <c r="J22" s="13">
        <f t="shared" si="4"/>
        <v>4.409854166666667</v>
      </c>
      <c r="K22" s="14">
        <f t="shared" si="3"/>
        <v>17.63941666666667</v>
      </c>
    </row>
    <row r="23" spans="2:11" ht="15">
      <c r="B23" s="10">
        <f>DATE(Annee,8,1)</f>
        <v>40391</v>
      </c>
      <c r="C23" s="22">
        <v>274.9</v>
      </c>
      <c r="D23" s="16"/>
      <c r="E23" s="20" t="str">
        <f t="shared" si="2"/>
        <v>versement</v>
      </c>
      <c r="F23" s="11">
        <f t="shared" si="0"/>
        <v>2199.2000000000003</v>
      </c>
      <c r="G23" s="38"/>
      <c r="H23" s="37">
        <v>10</v>
      </c>
      <c r="I23" s="12">
        <f t="shared" si="1"/>
        <v>0.0275</v>
      </c>
      <c r="J23" s="13">
        <f t="shared" si="4"/>
        <v>5.039833333333334</v>
      </c>
      <c r="K23" s="14">
        <f t="shared" si="3"/>
        <v>22.679250000000003</v>
      </c>
    </row>
    <row r="24" spans="2:11" ht="15">
      <c r="B24" s="10">
        <f>DATE(Annee,9,1)</f>
        <v>40422</v>
      </c>
      <c r="C24" s="22">
        <v>274.9</v>
      </c>
      <c r="D24" s="16"/>
      <c r="E24" s="20" t="str">
        <f t="shared" si="2"/>
        <v>versement</v>
      </c>
      <c r="F24" s="11">
        <f t="shared" si="0"/>
        <v>2474.1000000000004</v>
      </c>
      <c r="G24" s="38"/>
      <c r="H24" s="37">
        <v>8</v>
      </c>
      <c r="I24" s="12">
        <f t="shared" si="1"/>
        <v>0.0275</v>
      </c>
      <c r="J24" s="13">
        <f t="shared" si="4"/>
        <v>5.669812500000002</v>
      </c>
      <c r="K24" s="14">
        <f t="shared" si="3"/>
        <v>28.349062500000006</v>
      </c>
    </row>
    <row r="25" spans="2:11" ht="15">
      <c r="B25" s="10">
        <f>DATE(Annee,10,1)</f>
        <v>40452</v>
      </c>
      <c r="C25" s="22">
        <v>274.9</v>
      </c>
      <c r="D25" s="16"/>
      <c r="E25" s="20" t="str">
        <f t="shared" si="2"/>
        <v>versement</v>
      </c>
      <c r="F25" s="11">
        <f t="shared" si="0"/>
        <v>2749.0000000000005</v>
      </c>
      <c r="G25" s="38"/>
      <c r="H25" s="37">
        <v>6</v>
      </c>
      <c r="I25" s="12">
        <f t="shared" si="1"/>
        <v>0.0275</v>
      </c>
      <c r="J25" s="13">
        <f t="shared" si="4"/>
        <v>6.299791666666668</v>
      </c>
      <c r="K25" s="14">
        <f t="shared" si="3"/>
        <v>34.64885416666667</v>
      </c>
    </row>
    <row r="26" spans="2:11" ht="15">
      <c r="B26" s="10">
        <f>DATE(Annee,11,1)</f>
        <v>40483</v>
      </c>
      <c r="C26" s="22">
        <v>274.9</v>
      </c>
      <c r="D26" s="16"/>
      <c r="E26" s="20" t="str">
        <f t="shared" si="2"/>
        <v>versement</v>
      </c>
      <c r="F26" s="11">
        <f t="shared" si="0"/>
        <v>3023.9000000000005</v>
      </c>
      <c r="G26" s="38"/>
      <c r="H26" s="37">
        <v>4</v>
      </c>
      <c r="I26" s="12">
        <f t="shared" si="1"/>
        <v>0.0275</v>
      </c>
      <c r="J26" s="13">
        <f t="shared" si="4"/>
        <v>6.929770833333335</v>
      </c>
      <c r="K26" s="14">
        <f t="shared" si="3"/>
        <v>41.57862500000001</v>
      </c>
    </row>
    <row r="27" spans="2:11" ht="15.75" thickBot="1">
      <c r="B27" s="10">
        <f>DATE(Annee,12,1)</f>
        <v>40513</v>
      </c>
      <c r="C27" s="22">
        <v>274.9</v>
      </c>
      <c r="D27" s="16"/>
      <c r="E27" s="20" t="str">
        <f t="shared" si="2"/>
        <v>versement</v>
      </c>
      <c r="F27" s="42">
        <f t="shared" si="0"/>
        <v>3298.8000000000006</v>
      </c>
      <c r="G27" s="38"/>
      <c r="H27" s="37">
        <v>2</v>
      </c>
      <c r="I27" s="12">
        <f t="shared" si="1"/>
        <v>0.0275</v>
      </c>
      <c r="J27" s="13">
        <f t="shared" si="4"/>
        <v>7.559750000000001</v>
      </c>
      <c r="K27" s="14">
        <f t="shared" si="3"/>
        <v>49.13837500000001</v>
      </c>
    </row>
    <row r="28" spans="2:11" ht="15.75" thickBot="1">
      <c r="B28" s="17"/>
      <c r="C28" s="33"/>
      <c r="D28" s="18"/>
      <c r="E28" s="43" t="str">
        <f>"Capitalisation au "&amp;TEXT(DATE(Annee,12,31),"jj/mm/aaaa")</f>
        <v>Capitalisation au 31/12/2010</v>
      </c>
      <c r="F28" s="44">
        <f>F27+K27</f>
        <v>3347.9383750000006</v>
      </c>
      <c r="H28" s="26"/>
      <c r="I28" s="47" t="s">
        <v>13</v>
      </c>
      <c r="J28" s="27"/>
      <c r="K28" s="48">
        <f>K27</f>
        <v>49.13837500000001</v>
      </c>
    </row>
    <row r="29" spans="3:9" ht="15">
      <c r="C29" s="34"/>
      <c r="I29" s="34"/>
    </row>
    <row r="30" spans="1:5" ht="15.75">
      <c r="A30" s="21"/>
      <c r="E30" s="25"/>
    </row>
    <row r="31" ht="15.75" thickBot="1">
      <c r="F31" s="3"/>
    </row>
    <row r="32" spans="2:12" ht="15">
      <c r="B32" s="52" t="s">
        <v>4</v>
      </c>
      <c r="C32" s="53"/>
      <c r="D32" s="53"/>
      <c r="E32" s="53"/>
      <c r="F32" s="54"/>
      <c r="H32" s="49" t="s">
        <v>5</v>
      </c>
      <c r="I32" s="50"/>
      <c r="J32" s="50"/>
      <c r="K32" s="51"/>
      <c r="L32" s="39"/>
    </row>
    <row r="33" spans="1:12" ht="26.25">
      <c r="A33" s="7"/>
      <c r="B33" s="4" t="s">
        <v>10</v>
      </c>
      <c r="C33" s="5" t="s">
        <v>6</v>
      </c>
      <c r="D33" s="5" t="s">
        <v>7</v>
      </c>
      <c r="E33" s="5" t="s">
        <v>8</v>
      </c>
      <c r="F33" s="6" t="s">
        <v>9</v>
      </c>
      <c r="G33" s="41"/>
      <c r="H33" s="40" t="str">
        <f>"Coef / "&amp;ValPeriode</f>
        <v>Coef / </v>
      </c>
      <c r="I33" s="8" t="s">
        <v>7</v>
      </c>
      <c r="J33" s="8" t="s">
        <v>11</v>
      </c>
      <c r="K33" s="9" t="s">
        <v>12</v>
      </c>
      <c r="L33" s="7"/>
    </row>
    <row r="34" spans="2:11" ht="15">
      <c r="B34" s="10">
        <f>DATE(Annee,1,1)</f>
        <v>40179</v>
      </c>
      <c r="C34" s="22">
        <v>274.9</v>
      </c>
      <c r="D34" s="23">
        <f>TauxDeb</f>
        <v>0.0275</v>
      </c>
      <c r="E34" s="19" t="str">
        <f>"Solde au "&amp;TEXT(DATE(Annee+1,1,1),"jj/mm/aaaa")</f>
        <v>Solde au 01/01/2011</v>
      </c>
      <c r="F34" s="11">
        <f>F28+C34</f>
        <v>3622.8383750000007</v>
      </c>
      <c r="G34" s="38"/>
      <c r="H34" s="37">
        <v>24</v>
      </c>
      <c r="I34" s="12">
        <f>TauxDeb</f>
        <v>0.0275</v>
      </c>
      <c r="J34" s="13">
        <f>IF(H34&gt;19,F34*I34/12,0)</f>
        <v>8.302337942708336</v>
      </c>
      <c r="K34" s="14">
        <f>J34</f>
        <v>8.302337942708336</v>
      </c>
    </row>
    <row r="35" spans="2:11" ht="15">
      <c r="B35" s="10">
        <f>DATE(Annee,2,1)</f>
        <v>40210</v>
      </c>
      <c r="C35" s="22">
        <v>274.9</v>
      </c>
      <c r="D35" s="15"/>
      <c r="E35" s="20" t="str">
        <f>IF(C35&gt;0,"versement","retrait")</f>
        <v>versement</v>
      </c>
      <c r="F35" s="11">
        <f aca="true" t="shared" si="5" ref="F35:F45">F34+C35</f>
        <v>3897.738375000001</v>
      </c>
      <c r="G35" s="38"/>
      <c r="H35" s="37">
        <v>22</v>
      </c>
      <c r="I35" s="12">
        <f aca="true" t="shared" si="6" ref="I35:I45">IF(D35&gt;0,D35,I34)</f>
        <v>0.0275</v>
      </c>
      <c r="J35" s="13">
        <f>IF(H35&gt;19,F35*I35/12,0)</f>
        <v>8.932317109375001</v>
      </c>
      <c r="K35" s="14">
        <f>K34+J35</f>
        <v>17.234655052083337</v>
      </c>
    </row>
    <row r="36" spans="2:11" ht="15">
      <c r="B36" s="10">
        <f>DATE(Annee,3,1)</f>
        <v>40238</v>
      </c>
      <c r="C36" s="22">
        <v>274.9</v>
      </c>
      <c r="D36" s="16"/>
      <c r="E36" s="20" t="str">
        <f aca="true" t="shared" si="7" ref="E36:E45">IF(C36&gt;0,"versement","retrait")</f>
        <v>versement</v>
      </c>
      <c r="F36" s="11">
        <f t="shared" si="5"/>
        <v>4172.638375</v>
      </c>
      <c r="G36" s="38"/>
      <c r="H36" s="37">
        <v>20</v>
      </c>
      <c r="I36" s="12">
        <f t="shared" si="6"/>
        <v>0.0275</v>
      </c>
      <c r="J36" s="13">
        <f>IF(H36&gt;19,F36*I36/12,0)</f>
        <v>9.562296276041668</v>
      </c>
      <c r="K36" s="14">
        <f aca="true" t="shared" si="8" ref="K36:K45">K35+J36</f>
        <v>26.796951328125004</v>
      </c>
    </row>
    <row r="37" spans="2:11" ht="15">
      <c r="B37" s="10">
        <f>DATE(Annee,4,1)</f>
        <v>40269</v>
      </c>
      <c r="C37" s="22">
        <v>274.9</v>
      </c>
      <c r="D37" s="16"/>
      <c r="E37" s="20" t="str">
        <f t="shared" si="7"/>
        <v>versement</v>
      </c>
      <c r="F37" s="11">
        <f t="shared" si="5"/>
        <v>4447.538375</v>
      </c>
      <c r="G37" s="38"/>
      <c r="H37" s="37">
        <v>18</v>
      </c>
      <c r="I37" s="12">
        <f t="shared" si="6"/>
        <v>0.0275</v>
      </c>
      <c r="J37" s="13">
        <f aca="true" t="shared" si="9" ref="J37:J45">F37*I37/12</f>
        <v>10.192275442708334</v>
      </c>
      <c r="K37" s="14">
        <f t="shared" si="8"/>
        <v>36.98922677083334</v>
      </c>
    </row>
    <row r="38" spans="2:11" ht="15">
      <c r="B38" s="10">
        <f>DATE(Annee,5,1)</f>
        <v>40299</v>
      </c>
      <c r="C38" s="22">
        <v>274.9</v>
      </c>
      <c r="D38" s="16"/>
      <c r="E38" s="20" t="str">
        <f t="shared" si="7"/>
        <v>versement</v>
      </c>
      <c r="F38" s="11">
        <f t="shared" si="5"/>
        <v>4722.438375</v>
      </c>
      <c r="G38" s="38"/>
      <c r="H38" s="37">
        <v>16</v>
      </c>
      <c r="I38" s="12">
        <f t="shared" si="6"/>
        <v>0.0275</v>
      </c>
      <c r="J38" s="13">
        <f t="shared" si="9"/>
        <v>10.822254609375</v>
      </c>
      <c r="K38" s="14">
        <f t="shared" si="8"/>
        <v>47.81148138020834</v>
      </c>
    </row>
    <row r="39" spans="2:11" ht="15">
      <c r="B39" s="10">
        <f>DATE(Annee,6,1)</f>
        <v>40330</v>
      </c>
      <c r="C39" s="22">
        <v>274.9</v>
      </c>
      <c r="D39" s="16"/>
      <c r="E39" s="20" t="str">
        <f t="shared" si="7"/>
        <v>versement</v>
      </c>
      <c r="F39" s="11">
        <f t="shared" si="5"/>
        <v>4997.338374999999</v>
      </c>
      <c r="G39" s="38"/>
      <c r="H39" s="37">
        <v>14</v>
      </c>
      <c r="I39" s="12">
        <f t="shared" si="6"/>
        <v>0.0275</v>
      </c>
      <c r="J39" s="13">
        <f t="shared" si="9"/>
        <v>11.452233776041666</v>
      </c>
      <c r="K39" s="14">
        <f t="shared" si="8"/>
        <v>59.26371515625001</v>
      </c>
    </row>
    <row r="40" spans="2:11" ht="15">
      <c r="B40" s="10">
        <f>DATE(Annee,7,1)</f>
        <v>40360</v>
      </c>
      <c r="C40" s="22">
        <v>274.9</v>
      </c>
      <c r="D40" s="16"/>
      <c r="E40" s="20" t="str">
        <f t="shared" si="7"/>
        <v>versement</v>
      </c>
      <c r="F40" s="11">
        <f t="shared" si="5"/>
        <v>5272.238374999999</v>
      </c>
      <c r="G40" s="38"/>
      <c r="H40" s="37">
        <v>12</v>
      </c>
      <c r="I40" s="12">
        <f t="shared" si="6"/>
        <v>0.0275</v>
      </c>
      <c r="J40" s="13">
        <f t="shared" si="9"/>
        <v>12.082212942708331</v>
      </c>
      <c r="K40" s="14">
        <f t="shared" si="8"/>
        <v>71.34592809895834</v>
      </c>
    </row>
    <row r="41" spans="2:11" ht="15">
      <c r="B41" s="10">
        <f>DATE(Annee,8,1)</f>
        <v>40391</v>
      </c>
      <c r="C41" s="22">
        <v>274.9</v>
      </c>
      <c r="D41" s="16"/>
      <c r="E41" s="20" t="str">
        <f t="shared" si="7"/>
        <v>versement</v>
      </c>
      <c r="F41" s="11">
        <f t="shared" si="5"/>
        <v>5547.138374999999</v>
      </c>
      <c r="G41" s="38"/>
      <c r="H41" s="37">
        <v>10</v>
      </c>
      <c r="I41" s="12">
        <f t="shared" si="6"/>
        <v>0.0275</v>
      </c>
      <c r="J41" s="13">
        <f t="shared" si="9"/>
        <v>12.712192109374996</v>
      </c>
      <c r="K41" s="14">
        <f t="shared" si="8"/>
        <v>84.05812020833334</v>
      </c>
    </row>
    <row r="42" spans="2:11" ht="15">
      <c r="B42" s="10">
        <f>DATE(Annee,9,1)</f>
        <v>40422</v>
      </c>
      <c r="C42" s="22">
        <v>274.9</v>
      </c>
      <c r="D42" s="16"/>
      <c r="E42" s="20" t="str">
        <f t="shared" si="7"/>
        <v>versement</v>
      </c>
      <c r="F42" s="11">
        <f t="shared" si="5"/>
        <v>5822.038374999998</v>
      </c>
      <c r="G42" s="38"/>
      <c r="H42" s="37">
        <v>8</v>
      </c>
      <c r="I42" s="12">
        <f t="shared" si="6"/>
        <v>0.0275</v>
      </c>
      <c r="J42" s="13">
        <f t="shared" si="9"/>
        <v>13.342171276041663</v>
      </c>
      <c r="K42" s="14">
        <f t="shared" si="8"/>
        <v>97.400291484375</v>
      </c>
    </row>
    <row r="43" spans="2:11" ht="15">
      <c r="B43" s="10">
        <f>DATE(Annee,10,1)</f>
        <v>40452</v>
      </c>
      <c r="C43" s="22">
        <v>274.9</v>
      </c>
      <c r="D43" s="16"/>
      <c r="E43" s="20" t="str">
        <f t="shared" si="7"/>
        <v>versement</v>
      </c>
      <c r="F43" s="11">
        <f t="shared" si="5"/>
        <v>6096.938374999998</v>
      </c>
      <c r="G43" s="38"/>
      <c r="H43" s="37">
        <v>6</v>
      </c>
      <c r="I43" s="12">
        <f t="shared" si="6"/>
        <v>0.0275</v>
      </c>
      <c r="J43" s="13">
        <f t="shared" si="9"/>
        <v>13.972150442708328</v>
      </c>
      <c r="K43" s="14">
        <f t="shared" si="8"/>
        <v>111.37244192708333</v>
      </c>
    </row>
    <row r="44" spans="2:11" ht="15">
      <c r="B44" s="10">
        <f>DATE(Annee,11,1)</f>
        <v>40483</v>
      </c>
      <c r="C44" s="22">
        <v>274.9</v>
      </c>
      <c r="D44" s="16"/>
      <c r="E44" s="20" t="str">
        <f t="shared" si="7"/>
        <v>versement</v>
      </c>
      <c r="F44" s="11">
        <f t="shared" si="5"/>
        <v>6371.8383749999975</v>
      </c>
      <c r="G44" s="38"/>
      <c r="H44" s="37">
        <v>4</v>
      </c>
      <c r="I44" s="12">
        <f t="shared" si="6"/>
        <v>0.0275</v>
      </c>
      <c r="J44" s="13">
        <f t="shared" si="9"/>
        <v>14.602129609374993</v>
      </c>
      <c r="K44" s="14">
        <f t="shared" si="8"/>
        <v>125.97457153645833</v>
      </c>
    </row>
    <row r="45" spans="2:11" ht="15.75" thickBot="1">
      <c r="B45" s="10">
        <f>DATE(Annee,12,1)</f>
        <v>40513</v>
      </c>
      <c r="C45" s="22">
        <v>274.9</v>
      </c>
      <c r="D45" s="16"/>
      <c r="E45" s="20" t="str">
        <f t="shared" si="7"/>
        <v>versement</v>
      </c>
      <c r="F45" s="46">
        <f t="shared" si="5"/>
        <v>6646.738374999997</v>
      </c>
      <c r="G45" s="38"/>
      <c r="H45" s="37">
        <v>2</v>
      </c>
      <c r="I45" s="12">
        <f t="shared" si="6"/>
        <v>0.0275</v>
      </c>
      <c r="J45" s="13">
        <f t="shared" si="9"/>
        <v>15.232108776041661</v>
      </c>
      <c r="K45" s="14">
        <f t="shared" si="8"/>
        <v>141.2066803125</v>
      </c>
    </row>
    <row r="46" spans="2:12" ht="15.75" thickBot="1">
      <c r="B46" s="17"/>
      <c r="C46" s="32"/>
      <c r="D46" s="18"/>
      <c r="E46" s="43" t="str">
        <f>"Capitalisation au "&amp;TEXT(DATE(Annee+1,12,31),"jj/mm/aaaa")</f>
        <v>Capitalisation au 31/12/2011</v>
      </c>
      <c r="F46" s="44">
        <f>F45+K45</f>
        <v>6787.945055312497</v>
      </c>
      <c r="H46" s="26"/>
      <c r="I46" s="35" t="s">
        <v>13</v>
      </c>
      <c r="J46" s="27"/>
      <c r="K46" s="45">
        <f>K45</f>
        <v>141.2066803125</v>
      </c>
      <c r="L46" s="39"/>
    </row>
    <row r="48" spans="1:5" ht="15.75">
      <c r="A48" s="21"/>
      <c r="E48" s="25"/>
    </row>
    <row r="49" ht="15.75" thickBot="1">
      <c r="F49" s="3"/>
    </row>
    <row r="50" spans="2:12" ht="15">
      <c r="B50" s="52" t="s">
        <v>4</v>
      </c>
      <c r="C50" s="53"/>
      <c r="D50" s="53"/>
      <c r="E50" s="53"/>
      <c r="F50" s="54"/>
      <c r="G50" s="38"/>
      <c r="H50" s="55" t="s">
        <v>5</v>
      </c>
      <c r="I50" s="50"/>
      <c r="J50" s="50"/>
      <c r="K50" s="51"/>
      <c r="L50" s="39"/>
    </row>
    <row r="51" spans="1:11" ht="26.25">
      <c r="A51" s="7"/>
      <c r="B51" s="4" t="s">
        <v>10</v>
      </c>
      <c r="C51" s="5" t="s">
        <v>6</v>
      </c>
      <c r="D51" s="5" t="s">
        <v>7</v>
      </c>
      <c r="E51" s="5" t="s">
        <v>8</v>
      </c>
      <c r="F51" s="6" t="s">
        <v>9</v>
      </c>
      <c r="G51" s="41"/>
      <c r="H51" s="40" t="str">
        <f>"Coef / "&amp;ValPeriode</f>
        <v>Coef / </v>
      </c>
      <c r="I51" s="8" t="s">
        <v>7</v>
      </c>
      <c r="J51" s="8" t="s">
        <v>11</v>
      </c>
      <c r="K51" s="9" t="s">
        <v>12</v>
      </c>
    </row>
    <row r="52" spans="2:11" ht="15">
      <c r="B52" s="10">
        <f>DATE(Annee,1,1)</f>
        <v>40179</v>
      </c>
      <c r="C52" s="22">
        <v>274.9</v>
      </c>
      <c r="D52" s="23">
        <f>TauxDeb</f>
        <v>0.0275</v>
      </c>
      <c r="E52" s="19" t="str">
        <f>"Solde au "&amp;TEXT(DATE(Annee+2,1,1),"jj/mm/aaaa")</f>
        <v>Solde au 01/01/2012</v>
      </c>
      <c r="F52" s="11">
        <f>F46+C52</f>
        <v>7062.845055312497</v>
      </c>
      <c r="G52" s="38"/>
      <c r="H52" s="37">
        <v>24</v>
      </c>
      <c r="I52" s="12">
        <f>TauxDeb</f>
        <v>0.0275</v>
      </c>
      <c r="J52" s="13">
        <f>IF(H52&gt;19,F52*I52/12,0)</f>
        <v>16.185686585091137</v>
      </c>
      <c r="K52" s="14">
        <f>J52</f>
        <v>16.185686585091137</v>
      </c>
    </row>
    <row r="53" spans="2:11" ht="15">
      <c r="B53" s="10">
        <f>DATE(Annee,2,1)</f>
        <v>40210</v>
      </c>
      <c r="C53" s="22">
        <v>274.9</v>
      </c>
      <c r="D53" s="15"/>
      <c r="E53" s="20" t="str">
        <f>IF(C53&gt;0,"versement","retrait")</f>
        <v>versement</v>
      </c>
      <c r="F53" s="11">
        <f aca="true" t="shared" si="10" ref="F53:F63">F52+C53</f>
        <v>7337.745055312496</v>
      </c>
      <c r="G53" s="38"/>
      <c r="H53" s="37">
        <v>22</v>
      </c>
      <c r="I53" s="12">
        <f aca="true" t="shared" si="11" ref="I53:I63">IF(D53&gt;0,D53,I52)</f>
        <v>0.0275</v>
      </c>
      <c r="J53" s="13">
        <f>IF(H53&gt;19,F53*I53/12,0)</f>
        <v>16.815665751757802</v>
      </c>
      <c r="K53" s="14">
        <f>K52+J53</f>
        <v>33.00135233684894</v>
      </c>
    </row>
    <row r="54" spans="2:11" ht="15">
      <c r="B54" s="10">
        <f>DATE(Annee,3,1)</f>
        <v>40238</v>
      </c>
      <c r="C54" s="22">
        <v>274.9</v>
      </c>
      <c r="D54" s="16"/>
      <c r="E54" s="20" t="str">
        <f aca="true" t="shared" si="12" ref="E54:E63">IF(C54&gt;0,"versement","retrait")</f>
        <v>versement</v>
      </c>
      <c r="F54" s="11">
        <f t="shared" si="10"/>
        <v>7612.645055312496</v>
      </c>
      <c r="G54" s="38"/>
      <c r="H54" s="37">
        <v>20</v>
      </c>
      <c r="I54" s="12">
        <f t="shared" si="11"/>
        <v>0.0275</v>
      </c>
      <c r="J54" s="13">
        <f>IF(H54&gt;19,F54*I54/12,0)</f>
        <v>17.44564491842447</v>
      </c>
      <c r="K54" s="14">
        <f aca="true" t="shared" si="13" ref="K54:K63">K53+J54</f>
        <v>50.44699725527341</v>
      </c>
    </row>
    <row r="55" spans="2:11" ht="15">
      <c r="B55" s="10">
        <f>DATE(Annee,4,1)</f>
        <v>40269</v>
      </c>
      <c r="C55" s="22">
        <v>274.9</v>
      </c>
      <c r="D55" s="16"/>
      <c r="E55" s="20" t="str">
        <f t="shared" si="12"/>
        <v>versement</v>
      </c>
      <c r="F55" s="11">
        <f t="shared" si="10"/>
        <v>7887.545055312496</v>
      </c>
      <c r="G55" s="38"/>
      <c r="H55" s="37">
        <v>18</v>
      </c>
      <c r="I55" s="12">
        <f t="shared" si="11"/>
        <v>0.0275</v>
      </c>
      <c r="J55" s="13">
        <f aca="true" t="shared" si="14" ref="J55:J63">F55*I55/12</f>
        <v>18.075624085091135</v>
      </c>
      <c r="K55" s="14">
        <f t="shared" si="13"/>
        <v>68.52262134036454</v>
      </c>
    </row>
    <row r="56" spans="2:11" ht="15">
      <c r="B56" s="10">
        <f>DATE(Annee,5,1)</f>
        <v>40299</v>
      </c>
      <c r="C56" s="22">
        <v>274.9</v>
      </c>
      <c r="D56" s="16"/>
      <c r="E56" s="20" t="str">
        <f t="shared" si="12"/>
        <v>versement</v>
      </c>
      <c r="F56" s="11">
        <f t="shared" si="10"/>
        <v>8162.445055312495</v>
      </c>
      <c r="G56" s="38"/>
      <c r="H56" s="37">
        <v>16</v>
      </c>
      <c r="I56" s="12">
        <f t="shared" si="11"/>
        <v>0.0275</v>
      </c>
      <c r="J56" s="13">
        <f t="shared" si="14"/>
        <v>18.705603251757804</v>
      </c>
      <c r="K56" s="14">
        <f t="shared" si="13"/>
        <v>87.22822459212234</v>
      </c>
    </row>
    <row r="57" spans="2:11" ht="15">
      <c r="B57" s="10">
        <f>DATE(Annee,6,1)</f>
        <v>40330</v>
      </c>
      <c r="C57" s="22">
        <v>274.9</v>
      </c>
      <c r="D57" s="16"/>
      <c r="E57" s="20" t="str">
        <f t="shared" si="12"/>
        <v>versement</v>
      </c>
      <c r="F57" s="11">
        <f t="shared" si="10"/>
        <v>8437.345055312495</v>
      </c>
      <c r="G57" s="38"/>
      <c r="H57" s="37">
        <v>14</v>
      </c>
      <c r="I57" s="12">
        <f t="shared" si="11"/>
        <v>0.0275</v>
      </c>
      <c r="J57" s="13">
        <f t="shared" si="14"/>
        <v>19.33558241842447</v>
      </c>
      <c r="K57" s="14">
        <f t="shared" si="13"/>
        <v>106.56380701054681</v>
      </c>
    </row>
    <row r="58" spans="2:11" ht="15">
      <c r="B58" s="10">
        <f>DATE(Annee,7,1)</f>
        <v>40360</v>
      </c>
      <c r="C58" s="22">
        <v>274.9</v>
      </c>
      <c r="D58" s="16"/>
      <c r="E58" s="20" t="str">
        <f t="shared" si="12"/>
        <v>versement</v>
      </c>
      <c r="F58" s="11">
        <f t="shared" si="10"/>
        <v>8712.245055312495</v>
      </c>
      <c r="G58" s="38"/>
      <c r="H58" s="37">
        <v>12</v>
      </c>
      <c r="I58" s="12">
        <f t="shared" si="11"/>
        <v>0.0275</v>
      </c>
      <c r="J58" s="13">
        <f t="shared" si="14"/>
        <v>19.965561585091134</v>
      </c>
      <c r="K58" s="14">
        <f t="shared" si="13"/>
        <v>126.52936859563795</v>
      </c>
    </row>
    <row r="59" spans="2:11" ht="15">
      <c r="B59" s="10">
        <f>DATE(Annee,8,1)</f>
        <v>40391</v>
      </c>
      <c r="C59" s="22">
        <v>274.9</v>
      </c>
      <c r="D59" s="16"/>
      <c r="E59" s="20" t="str">
        <f t="shared" si="12"/>
        <v>versement</v>
      </c>
      <c r="F59" s="11">
        <f t="shared" si="10"/>
        <v>8987.145055312494</v>
      </c>
      <c r="G59" s="38"/>
      <c r="H59" s="37">
        <v>10</v>
      </c>
      <c r="I59" s="12">
        <f t="shared" si="11"/>
        <v>0.0275</v>
      </c>
      <c r="J59" s="13">
        <f t="shared" si="14"/>
        <v>20.5955407517578</v>
      </c>
      <c r="K59" s="14">
        <f t="shared" si="13"/>
        <v>147.12490934739574</v>
      </c>
    </row>
    <row r="60" spans="2:11" ht="15">
      <c r="B60" s="10">
        <f>DATE(Annee,9,1)</f>
        <v>40422</v>
      </c>
      <c r="C60" s="22">
        <v>274.9</v>
      </c>
      <c r="D60" s="16"/>
      <c r="E60" s="20" t="str">
        <f t="shared" si="12"/>
        <v>versement</v>
      </c>
      <c r="F60" s="11">
        <f t="shared" si="10"/>
        <v>9262.045055312494</v>
      </c>
      <c r="G60" s="38"/>
      <c r="H60" s="37">
        <v>8</v>
      </c>
      <c r="I60" s="12">
        <f t="shared" si="11"/>
        <v>0.0275</v>
      </c>
      <c r="J60" s="13">
        <f t="shared" si="14"/>
        <v>21.225519918424464</v>
      </c>
      <c r="K60" s="14">
        <f t="shared" si="13"/>
        <v>168.3504292658202</v>
      </c>
    </row>
    <row r="61" spans="2:11" ht="15">
      <c r="B61" s="10">
        <f>DATE(Annee,10,1)</f>
        <v>40452</v>
      </c>
      <c r="C61" s="22">
        <v>274.9</v>
      </c>
      <c r="D61" s="16"/>
      <c r="E61" s="20" t="str">
        <f t="shared" si="12"/>
        <v>versement</v>
      </c>
      <c r="F61" s="11">
        <f t="shared" si="10"/>
        <v>9536.945055312493</v>
      </c>
      <c r="G61" s="38"/>
      <c r="H61" s="37">
        <v>6</v>
      </c>
      <c r="I61" s="12">
        <f t="shared" si="11"/>
        <v>0.0275</v>
      </c>
      <c r="J61" s="13">
        <f t="shared" si="14"/>
        <v>21.85549908509113</v>
      </c>
      <c r="K61" s="14">
        <f t="shared" si="13"/>
        <v>190.20592835091134</v>
      </c>
    </row>
    <row r="62" spans="2:11" ht="15">
      <c r="B62" s="10">
        <f>DATE(Annee,11,1)</f>
        <v>40483</v>
      </c>
      <c r="C62" s="22">
        <v>274.9</v>
      </c>
      <c r="D62" s="16"/>
      <c r="E62" s="20" t="str">
        <f t="shared" si="12"/>
        <v>versement</v>
      </c>
      <c r="F62" s="11">
        <f t="shared" si="10"/>
        <v>9811.845055312493</v>
      </c>
      <c r="G62" s="38"/>
      <c r="H62" s="37">
        <v>4</v>
      </c>
      <c r="I62" s="12">
        <f t="shared" si="11"/>
        <v>0.0275</v>
      </c>
      <c r="J62" s="13">
        <f t="shared" si="14"/>
        <v>22.485478251757797</v>
      </c>
      <c r="K62" s="14">
        <f t="shared" si="13"/>
        <v>212.69140660266913</v>
      </c>
    </row>
    <row r="63" spans="2:11" ht="15.75" thickBot="1">
      <c r="B63" s="10">
        <f>DATE(Annee,12,1)</f>
        <v>40513</v>
      </c>
      <c r="C63" s="22">
        <v>274.9</v>
      </c>
      <c r="D63" s="16"/>
      <c r="E63" s="20" t="str">
        <f t="shared" si="12"/>
        <v>versement</v>
      </c>
      <c r="F63" s="42">
        <f t="shared" si="10"/>
        <v>10086.745055312493</v>
      </c>
      <c r="G63" s="38"/>
      <c r="H63" s="37">
        <v>2</v>
      </c>
      <c r="I63" s="12">
        <f t="shared" si="11"/>
        <v>0.0275</v>
      </c>
      <c r="J63" s="13">
        <f t="shared" si="14"/>
        <v>23.115457418424466</v>
      </c>
      <c r="K63" s="14">
        <f t="shared" si="13"/>
        <v>235.8068640210936</v>
      </c>
    </row>
    <row r="64" spans="2:12" ht="15.75" thickBot="1">
      <c r="B64" s="17"/>
      <c r="C64" s="32"/>
      <c r="D64" s="18"/>
      <c r="E64" s="43" t="str">
        <f>"Capitalisation au "&amp;TEXT(DATE(Annee+2,12,31),"jj/mm/aaaa")</f>
        <v>Capitalisation au 31/12/2012</v>
      </c>
      <c r="F64" s="44">
        <f>F63+K63</f>
        <v>10322.551919333586</v>
      </c>
      <c r="H64" s="26"/>
      <c r="I64" s="35" t="s">
        <v>13</v>
      </c>
      <c r="J64" s="27"/>
      <c r="K64" s="45">
        <f>K63</f>
        <v>235.8068640210936</v>
      </c>
      <c r="L64" s="39"/>
    </row>
    <row r="66" spans="1:5" ht="15.75">
      <c r="A66" s="21"/>
      <c r="E66" s="25"/>
    </row>
    <row r="67" ht="15.75" thickBot="1">
      <c r="F67" s="3"/>
    </row>
    <row r="68" spans="2:12" ht="15">
      <c r="B68" s="52" t="s">
        <v>4</v>
      </c>
      <c r="C68" s="53"/>
      <c r="D68" s="53"/>
      <c r="E68" s="53"/>
      <c r="F68" s="54"/>
      <c r="H68" s="49" t="s">
        <v>5</v>
      </c>
      <c r="I68" s="50"/>
      <c r="J68" s="50"/>
      <c r="K68" s="51"/>
      <c r="L68" s="39"/>
    </row>
    <row r="69" spans="1:11" ht="26.25">
      <c r="A69" s="7"/>
      <c r="B69" s="4" t="s">
        <v>10</v>
      </c>
      <c r="C69" s="5" t="s">
        <v>6</v>
      </c>
      <c r="D69" s="5" t="s">
        <v>7</v>
      </c>
      <c r="E69" s="5" t="s">
        <v>8</v>
      </c>
      <c r="F69" s="6" t="s">
        <v>9</v>
      </c>
      <c r="G69" s="7"/>
      <c r="H69" s="36" t="str">
        <f>"Coef / "&amp;ValPeriode</f>
        <v>Coef / </v>
      </c>
      <c r="I69" s="8" t="s">
        <v>7</v>
      </c>
      <c r="J69" s="8" t="s">
        <v>11</v>
      </c>
      <c r="K69" s="9" t="s">
        <v>12</v>
      </c>
    </row>
    <row r="70" spans="2:11" ht="15">
      <c r="B70" s="10">
        <f>DATE(Annee,1,1)</f>
        <v>40179</v>
      </c>
      <c r="C70" s="22">
        <v>274.9</v>
      </c>
      <c r="D70" s="23">
        <f>TauxDeb</f>
        <v>0.0275</v>
      </c>
      <c r="E70" s="19" t="str">
        <f>"Solde au "&amp;TEXT(DATE(Annee+3,1,1),"jj/mm/aaaa")</f>
        <v>Solde au 01/01/2013</v>
      </c>
      <c r="F70" s="11">
        <f>F64+C70</f>
        <v>10597.451919333585</v>
      </c>
      <c r="G70" s="38"/>
      <c r="H70" s="37">
        <v>24</v>
      </c>
      <c r="I70" s="12">
        <f>TauxDeb</f>
        <v>0.0275</v>
      </c>
      <c r="J70" s="13">
        <f>IF(H70&gt;19,F70*I70/12,0)</f>
        <v>24.285827315139468</v>
      </c>
      <c r="K70" s="14">
        <f>J70</f>
        <v>24.285827315139468</v>
      </c>
    </row>
    <row r="71" spans="2:11" ht="15">
      <c r="B71" s="10">
        <f>DATE(Annee,2,1)</f>
        <v>40210</v>
      </c>
      <c r="C71" s="22">
        <v>274.9</v>
      </c>
      <c r="D71" s="15"/>
      <c r="E71" s="20" t="str">
        <f>IF(C71&gt;0,"versement","retrait")</f>
        <v>versement</v>
      </c>
      <c r="F71" s="11">
        <f aca="true" t="shared" si="15" ref="F71:F81">F70+C71</f>
        <v>10872.351919333585</v>
      </c>
      <c r="G71" s="38"/>
      <c r="H71" s="37">
        <v>22</v>
      </c>
      <c r="I71" s="12">
        <f aca="true" t="shared" si="16" ref="I71:I81">IF(D71&gt;0,D71,I70)</f>
        <v>0.0275</v>
      </c>
      <c r="J71" s="13">
        <f>IF(H71&gt;19,F71*I71/12,0)</f>
        <v>24.915806481806133</v>
      </c>
      <c r="K71" s="14">
        <f>K70+J71</f>
        <v>49.2016337969456</v>
      </c>
    </row>
    <row r="72" spans="2:11" ht="15">
      <c r="B72" s="10">
        <f>DATE(Annee,3,1)</f>
        <v>40238</v>
      </c>
      <c r="C72" s="22">
        <v>274.9</v>
      </c>
      <c r="D72" s="16"/>
      <c r="E72" s="20" t="str">
        <f aca="true" t="shared" si="17" ref="E72:E81">IF(C72&gt;0,"versement","retrait")</f>
        <v>versement</v>
      </c>
      <c r="F72" s="11">
        <f t="shared" si="15"/>
        <v>11147.251919333585</v>
      </c>
      <c r="G72" s="38"/>
      <c r="H72" s="37">
        <v>20</v>
      </c>
      <c r="I72" s="12">
        <f t="shared" si="16"/>
        <v>0.0275</v>
      </c>
      <c r="J72" s="13">
        <f>IF(H72&gt;19,F72*I72/12,0)</f>
        <v>25.545785648472798</v>
      </c>
      <c r="K72" s="14">
        <f aca="true" t="shared" si="18" ref="K72:K81">K71+J72</f>
        <v>74.7474194454184</v>
      </c>
    </row>
    <row r="73" spans="2:11" ht="15">
      <c r="B73" s="10">
        <f>DATE(Annee,4,1)</f>
        <v>40269</v>
      </c>
      <c r="C73" s="22">
        <v>274.9</v>
      </c>
      <c r="D73" s="16"/>
      <c r="E73" s="20" t="str">
        <f t="shared" si="17"/>
        <v>versement</v>
      </c>
      <c r="F73" s="11">
        <f t="shared" si="15"/>
        <v>11422.151919333584</v>
      </c>
      <c r="G73" s="38"/>
      <c r="H73" s="37">
        <v>18</v>
      </c>
      <c r="I73" s="12">
        <f t="shared" si="16"/>
        <v>0.0275</v>
      </c>
      <c r="J73" s="13">
        <f aca="true" t="shared" si="19" ref="J73:J81">F73*I73/12</f>
        <v>26.175764815139463</v>
      </c>
      <c r="K73" s="14">
        <f t="shared" si="18"/>
        <v>100.92318426055786</v>
      </c>
    </row>
    <row r="74" spans="2:11" ht="15">
      <c r="B74" s="10">
        <f>DATE(Annee,5,1)</f>
        <v>40299</v>
      </c>
      <c r="C74" s="22">
        <v>274.9</v>
      </c>
      <c r="D74" s="16"/>
      <c r="E74" s="20" t="str">
        <f t="shared" si="17"/>
        <v>versement</v>
      </c>
      <c r="F74" s="11">
        <f t="shared" si="15"/>
        <v>11697.051919333584</v>
      </c>
      <c r="G74" s="38"/>
      <c r="H74" s="37">
        <v>16</v>
      </c>
      <c r="I74" s="12">
        <f t="shared" si="16"/>
        <v>0.0275</v>
      </c>
      <c r="J74" s="13">
        <f t="shared" si="19"/>
        <v>26.80574398180613</v>
      </c>
      <c r="K74" s="14">
        <f t="shared" si="18"/>
        <v>127.72892824236399</v>
      </c>
    </row>
    <row r="75" spans="2:11" ht="15">
      <c r="B75" s="10">
        <f>DATE(Annee,6,1)</f>
        <v>40330</v>
      </c>
      <c r="C75" s="22">
        <v>274.9</v>
      </c>
      <c r="D75" s="16"/>
      <c r="E75" s="20" t="str">
        <f t="shared" si="17"/>
        <v>versement</v>
      </c>
      <c r="F75" s="11">
        <f t="shared" si="15"/>
        <v>11971.951919333584</v>
      </c>
      <c r="G75" s="38"/>
      <c r="H75" s="37">
        <v>14</v>
      </c>
      <c r="I75" s="12">
        <f t="shared" si="16"/>
        <v>0.0275</v>
      </c>
      <c r="J75" s="13">
        <f t="shared" si="19"/>
        <v>27.435723148472793</v>
      </c>
      <c r="K75" s="14">
        <f t="shared" si="18"/>
        <v>155.16465139083678</v>
      </c>
    </row>
    <row r="76" spans="2:11" ht="15">
      <c r="B76" s="10">
        <f>DATE(Annee,7,1)</f>
        <v>40360</v>
      </c>
      <c r="C76" s="22">
        <v>274.9</v>
      </c>
      <c r="D76" s="16"/>
      <c r="E76" s="20" t="str">
        <f t="shared" si="17"/>
        <v>versement</v>
      </c>
      <c r="F76" s="11">
        <f t="shared" si="15"/>
        <v>12246.851919333583</v>
      </c>
      <c r="G76" s="38"/>
      <c r="H76" s="37">
        <v>12</v>
      </c>
      <c r="I76" s="12">
        <f t="shared" si="16"/>
        <v>0.0275</v>
      </c>
      <c r="J76" s="13">
        <f t="shared" si="19"/>
        <v>28.06570231513946</v>
      </c>
      <c r="K76" s="14">
        <f t="shared" si="18"/>
        <v>183.23035370597626</v>
      </c>
    </row>
    <row r="77" spans="2:11" ht="15">
      <c r="B77" s="10">
        <f>DATE(Annee,8,1)</f>
        <v>40391</v>
      </c>
      <c r="C77" s="22">
        <v>274.9</v>
      </c>
      <c r="D77" s="16"/>
      <c r="E77" s="20" t="str">
        <f t="shared" si="17"/>
        <v>versement</v>
      </c>
      <c r="F77" s="11">
        <f t="shared" si="15"/>
        <v>12521.751919333583</v>
      </c>
      <c r="G77" s="38"/>
      <c r="H77" s="37">
        <v>10</v>
      </c>
      <c r="I77" s="12">
        <f t="shared" si="16"/>
        <v>0.0275</v>
      </c>
      <c r="J77" s="13">
        <f t="shared" si="19"/>
        <v>28.69568148180613</v>
      </c>
      <c r="K77" s="14">
        <f t="shared" si="18"/>
        <v>211.9260351877824</v>
      </c>
    </row>
    <row r="78" spans="2:11" ht="15">
      <c r="B78" s="10">
        <f>DATE(Annee,9,1)</f>
        <v>40422</v>
      </c>
      <c r="C78" s="22">
        <v>274.9</v>
      </c>
      <c r="D78" s="16"/>
      <c r="E78" s="20" t="str">
        <f t="shared" si="17"/>
        <v>versement</v>
      </c>
      <c r="F78" s="11">
        <f t="shared" si="15"/>
        <v>12796.651919333583</v>
      </c>
      <c r="G78" s="38"/>
      <c r="H78" s="37">
        <v>8</v>
      </c>
      <c r="I78" s="12">
        <f t="shared" si="16"/>
        <v>0.0275</v>
      </c>
      <c r="J78" s="13">
        <f t="shared" si="19"/>
        <v>29.325660648472795</v>
      </c>
      <c r="K78" s="14">
        <f t="shared" si="18"/>
        <v>241.25169583625518</v>
      </c>
    </row>
    <row r="79" spans="2:11" ht="15">
      <c r="B79" s="10">
        <f>DATE(Annee,10,1)</f>
        <v>40452</v>
      </c>
      <c r="C79" s="22">
        <v>274.9</v>
      </c>
      <c r="D79" s="16"/>
      <c r="E79" s="20" t="str">
        <f t="shared" si="17"/>
        <v>versement</v>
      </c>
      <c r="F79" s="11">
        <f t="shared" si="15"/>
        <v>13071.551919333582</v>
      </c>
      <c r="G79" s="38"/>
      <c r="H79" s="37">
        <v>6</v>
      </c>
      <c r="I79" s="12">
        <f t="shared" si="16"/>
        <v>0.0275</v>
      </c>
      <c r="J79" s="13">
        <f t="shared" si="19"/>
        <v>29.95563981513946</v>
      </c>
      <c r="K79" s="14">
        <f t="shared" si="18"/>
        <v>271.20733565139466</v>
      </c>
    </row>
    <row r="80" spans="2:11" ht="15">
      <c r="B80" s="10">
        <f>DATE(Annee,11,1)</f>
        <v>40483</v>
      </c>
      <c r="C80" s="22">
        <v>274.9</v>
      </c>
      <c r="D80" s="16"/>
      <c r="E80" s="20" t="str">
        <f t="shared" si="17"/>
        <v>versement</v>
      </c>
      <c r="F80" s="11">
        <f t="shared" si="15"/>
        <v>13346.451919333582</v>
      </c>
      <c r="G80" s="38"/>
      <c r="H80" s="37">
        <v>4</v>
      </c>
      <c r="I80" s="12">
        <f t="shared" si="16"/>
        <v>0.0275</v>
      </c>
      <c r="J80" s="13">
        <f t="shared" si="19"/>
        <v>30.585618981806125</v>
      </c>
      <c r="K80" s="14">
        <f t="shared" si="18"/>
        <v>301.7929546332008</v>
      </c>
    </row>
    <row r="81" spans="2:11" ht="15.75" thickBot="1">
      <c r="B81" s="10">
        <f>DATE(Annee,12,1)</f>
        <v>40513</v>
      </c>
      <c r="C81" s="22">
        <v>274.9</v>
      </c>
      <c r="D81" s="16"/>
      <c r="E81" s="20" t="str">
        <f t="shared" si="17"/>
        <v>versement</v>
      </c>
      <c r="F81" s="46">
        <f t="shared" si="15"/>
        <v>13621.351919333581</v>
      </c>
      <c r="G81" s="38"/>
      <c r="H81" s="37">
        <v>2</v>
      </c>
      <c r="I81" s="12">
        <f t="shared" si="16"/>
        <v>0.0275</v>
      </c>
      <c r="J81" s="13">
        <f t="shared" si="19"/>
        <v>31.215598148472793</v>
      </c>
      <c r="K81" s="14">
        <f t="shared" si="18"/>
        <v>333.0085527816736</v>
      </c>
    </row>
    <row r="82" spans="2:12" ht="15.75" thickBot="1">
      <c r="B82" s="17"/>
      <c r="C82" s="33"/>
      <c r="D82" s="18"/>
      <c r="E82" s="43" t="str">
        <f>"Capitalisation au "&amp;TEXT(DATE(Annee+3,12,31),"jj/mm/aaaa")</f>
        <v>Capitalisation au 31/12/2013</v>
      </c>
      <c r="F82" s="44">
        <f>F81+K81</f>
        <v>13954.360472115255</v>
      </c>
      <c r="H82" s="26"/>
      <c r="I82" s="35" t="s">
        <v>13</v>
      </c>
      <c r="J82" s="27"/>
      <c r="K82" s="45">
        <f>K81</f>
        <v>333.0085527816736</v>
      </c>
      <c r="L82" s="39"/>
    </row>
    <row r="83" ht="15">
      <c r="C83" s="34"/>
    </row>
    <row r="84" ht="15">
      <c r="E84" s="25"/>
    </row>
    <row r="85" ht="15.75" thickBot="1">
      <c r="F85" s="3"/>
    </row>
    <row r="86" spans="2:11" ht="15">
      <c r="B86" s="52" t="s">
        <v>4</v>
      </c>
      <c r="C86" s="53"/>
      <c r="D86" s="53"/>
      <c r="E86" s="53"/>
      <c r="F86" s="54"/>
      <c r="G86" s="38"/>
      <c r="H86" s="55" t="s">
        <v>5</v>
      </c>
      <c r="I86" s="50"/>
      <c r="J86" s="50"/>
      <c r="K86" s="50"/>
    </row>
    <row r="87" spans="1:11" ht="26.25">
      <c r="A87" s="7"/>
      <c r="B87" s="4" t="s">
        <v>10</v>
      </c>
      <c r="C87" s="5" t="s">
        <v>6</v>
      </c>
      <c r="D87" s="5" t="s">
        <v>7</v>
      </c>
      <c r="E87" s="5" t="s">
        <v>8</v>
      </c>
      <c r="F87" s="6" t="s">
        <v>9</v>
      </c>
      <c r="G87" s="41"/>
      <c r="H87" s="40" t="str">
        <f>"Coef / "&amp;ValPeriode</f>
        <v>Coef / </v>
      </c>
      <c r="I87" s="8" t="s">
        <v>7</v>
      </c>
      <c r="J87" s="8" t="s">
        <v>11</v>
      </c>
      <c r="K87" s="9" t="s">
        <v>12</v>
      </c>
    </row>
    <row r="88" spans="2:11" ht="15">
      <c r="B88" s="10">
        <f>DATE(Annee,1,1)</f>
        <v>40179</v>
      </c>
      <c r="C88" s="22">
        <v>274.9</v>
      </c>
      <c r="D88" s="23">
        <f>TauxDeb</f>
        <v>0.0275</v>
      </c>
      <c r="E88" s="19" t="str">
        <f>"Solde au "&amp;TEXT(DATE(Annee+4,1,1),"jj/mm/aaaa")</f>
        <v>Solde au 01/01/2014</v>
      </c>
      <c r="F88" s="11">
        <f>F82+C88</f>
        <v>14229.260472115255</v>
      </c>
      <c r="G88" s="38"/>
      <c r="H88" s="37">
        <v>24</v>
      </c>
      <c r="I88" s="12">
        <f>TauxDeb</f>
        <v>0.0275</v>
      </c>
      <c r="J88" s="13">
        <f>IF(H88&gt;19,F88*I88/12,0)</f>
        <v>32.60872191526413</v>
      </c>
      <c r="K88" s="14">
        <f>J88</f>
        <v>32.60872191526413</v>
      </c>
    </row>
    <row r="89" spans="2:11" ht="15">
      <c r="B89" s="10">
        <f>DATE(Annee,2,1)</f>
        <v>40210</v>
      </c>
      <c r="C89" s="22">
        <v>274.9</v>
      </c>
      <c r="D89" s="15"/>
      <c r="E89" s="20" t="str">
        <f>IF(C89&gt;0,"versement","retrait")</f>
        <v>versement</v>
      </c>
      <c r="F89" s="11">
        <f aca="true" t="shared" si="20" ref="F89:F99">F88+C89</f>
        <v>14504.160472115254</v>
      </c>
      <c r="G89" s="38"/>
      <c r="H89" s="37">
        <v>22</v>
      </c>
      <c r="I89" s="12">
        <f aca="true" t="shared" si="21" ref="I89:I99">IF(D89&gt;0,D89,I88)</f>
        <v>0.0275</v>
      </c>
      <c r="J89" s="13">
        <f>IF(H89&gt;19,F89*I89/12,0)</f>
        <v>33.23870108193079</v>
      </c>
      <c r="K89" s="14">
        <f>K88+J89</f>
        <v>65.84742299719491</v>
      </c>
    </row>
    <row r="90" spans="2:11" ht="15">
      <c r="B90" s="10">
        <f>DATE(Annee,3,1)</f>
        <v>40238</v>
      </c>
      <c r="C90" s="22">
        <v>274.9</v>
      </c>
      <c r="D90" s="16"/>
      <c r="E90" s="20" t="str">
        <f aca="true" t="shared" si="22" ref="E90:E99">IF(C90&gt;0,"versement","retrait")</f>
        <v>versement</v>
      </c>
      <c r="F90" s="11">
        <f t="shared" si="20"/>
        <v>14779.060472115254</v>
      </c>
      <c r="G90" s="38"/>
      <c r="H90" s="37">
        <v>20</v>
      </c>
      <c r="I90" s="12">
        <f t="shared" si="21"/>
        <v>0.0275</v>
      </c>
      <c r="J90" s="13">
        <f>IF(H90&gt;19,F90*I90/12,0)</f>
        <v>33.86868024859746</v>
      </c>
      <c r="K90" s="14">
        <f aca="true" t="shared" si="23" ref="K90:K99">K89+J90</f>
        <v>99.71610324579237</v>
      </c>
    </row>
    <row r="91" spans="2:11" ht="15">
      <c r="B91" s="10">
        <f>DATE(Annee,4,1)</f>
        <v>40269</v>
      </c>
      <c r="C91" s="22">
        <v>274.9</v>
      </c>
      <c r="D91" s="16"/>
      <c r="E91" s="20" t="str">
        <f t="shared" si="22"/>
        <v>versement</v>
      </c>
      <c r="F91" s="11">
        <f t="shared" si="20"/>
        <v>15053.960472115254</v>
      </c>
      <c r="G91" s="38"/>
      <c r="H91" s="37">
        <v>18</v>
      </c>
      <c r="I91" s="12">
        <f t="shared" si="21"/>
        <v>0.0275</v>
      </c>
      <c r="J91" s="13">
        <f aca="true" t="shared" si="24" ref="J91:J99">F91*I91/12</f>
        <v>34.49865941526412</v>
      </c>
      <c r="K91" s="14">
        <f t="shared" si="23"/>
        <v>134.21476266105648</v>
      </c>
    </row>
    <row r="92" spans="2:11" ht="15">
      <c r="B92" s="10">
        <f>DATE(Annee,5,1)</f>
        <v>40299</v>
      </c>
      <c r="C92" s="22">
        <v>274.9</v>
      </c>
      <c r="D92" s="16"/>
      <c r="E92" s="20" t="str">
        <f t="shared" si="22"/>
        <v>versement</v>
      </c>
      <c r="F92" s="11">
        <f t="shared" si="20"/>
        <v>15328.860472115253</v>
      </c>
      <c r="G92" s="38"/>
      <c r="H92" s="37">
        <v>16</v>
      </c>
      <c r="I92" s="12">
        <f t="shared" si="21"/>
        <v>0.0275</v>
      </c>
      <c r="J92" s="13">
        <f t="shared" si="24"/>
        <v>35.12863858193079</v>
      </c>
      <c r="K92" s="14">
        <f t="shared" si="23"/>
        <v>169.34340124298728</v>
      </c>
    </row>
    <row r="93" spans="2:11" ht="15">
      <c r="B93" s="10">
        <f>DATE(Annee,6,1)</f>
        <v>40330</v>
      </c>
      <c r="C93" s="22">
        <v>274.9</v>
      </c>
      <c r="D93" s="16"/>
      <c r="E93" s="20" t="str">
        <f t="shared" si="22"/>
        <v>versement</v>
      </c>
      <c r="F93" s="11">
        <f t="shared" si="20"/>
        <v>15603.760472115253</v>
      </c>
      <c r="G93" s="38"/>
      <c r="H93" s="37">
        <v>14</v>
      </c>
      <c r="I93" s="12">
        <f t="shared" si="21"/>
        <v>0.0275</v>
      </c>
      <c r="J93" s="13">
        <f t="shared" si="24"/>
        <v>35.75861774859745</v>
      </c>
      <c r="K93" s="14">
        <f t="shared" si="23"/>
        <v>205.10201899158474</v>
      </c>
    </row>
    <row r="94" spans="2:11" ht="15">
      <c r="B94" s="10">
        <f>DATE(Annee,7,1)</f>
        <v>40360</v>
      </c>
      <c r="C94" s="22">
        <v>274.9</v>
      </c>
      <c r="D94" s="16"/>
      <c r="E94" s="20" t="str">
        <f t="shared" si="22"/>
        <v>versement</v>
      </c>
      <c r="F94" s="11">
        <f t="shared" si="20"/>
        <v>15878.660472115253</v>
      </c>
      <c r="G94" s="38"/>
      <c r="H94" s="37">
        <v>12</v>
      </c>
      <c r="I94" s="12">
        <f t="shared" si="21"/>
        <v>0.0275</v>
      </c>
      <c r="J94" s="13">
        <f t="shared" si="24"/>
        <v>36.388596915264124</v>
      </c>
      <c r="K94" s="14">
        <f t="shared" si="23"/>
        <v>241.49061590684886</v>
      </c>
    </row>
    <row r="95" spans="2:11" ht="15">
      <c r="B95" s="10">
        <f>DATE(Annee,8,1)</f>
        <v>40391</v>
      </c>
      <c r="C95" s="22">
        <v>274.9</v>
      </c>
      <c r="D95" s="16"/>
      <c r="E95" s="20" t="str">
        <f t="shared" si="22"/>
        <v>versement</v>
      </c>
      <c r="F95" s="11">
        <f t="shared" si="20"/>
        <v>16153.560472115252</v>
      </c>
      <c r="G95" s="38"/>
      <c r="H95" s="37">
        <v>10</v>
      </c>
      <c r="I95" s="12">
        <f t="shared" si="21"/>
        <v>0.0275</v>
      </c>
      <c r="J95" s="13">
        <f t="shared" si="24"/>
        <v>37.01857608193079</v>
      </c>
      <c r="K95" s="14">
        <f t="shared" si="23"/>
        <v>278.50919198877966</v>
      </c>
    </row>
    <row r="96" spans="2:11" ht="15">
      <c r="B96" s="10">
        <f>DATE(Annee,9,1)</f>
        <v>40422</v>
      </c>
      <c r="C96" s="22">
        <v>274.9</v>
      </c>
      <c r="D96" s="16"/>
      <c r="E96" s="20" t="str">
        <f t="shared" si="22"/>
        <v>versement</v>
      </c>
      <c r="F96" s="11">
        <f t="shared" si="20"/>
        <v>16428.460472115254</v>
      </c>
      <c r="G96" s="38"/>
      <c r="H96" s="37">
        <v>8</v>
      </c>
      <c r="I96" s="12">
        <f t="shared" si="21"/>
        <v>0.0275</v>
      </c>
      <c r="J96" s="13">
        <f t="shared" si="24"/>
        <v>37.648555248597454</v>
      </c>
      <c r="K96" s="14">
        <f t="shared" si="23"/>
        <v>316.1577472373771</v>
      </c>
    </row>
    <row r="97" spans="2:11" ht="15">
      <c r="B97" s="10">
        <f>DATE(Annee,10,1)</f>
        <v>40452</v>
      </c>
      <c r="C97" s="22">
        <v>274.9</v>
      </c>
      <c r="D97" s="16"/>
      <c r="E97" s="20" t="str">
        <f t="shared" si="22"/>
        <v>versement</v>
      </c>
      <c r="F97" s="11">
        <f t="shared" si="20"/>
        <v>16703.360472115255</v>
      </c>
      <c r="G97" s="38"/>
      <c r="H97" s="37">
        <v>6</v>
      </c>
      <c r="I97" s="12">
        <f t="shared" si="21"/>
        <v>0.0275</v>
      </c>
      <c r="J97" s="13">
        <f t="shared" si="24"/>
        <v>38.278534415264126</v>
      </c>
      <c r="K97" s="14">
        <f t="shared" si="23"/>
        <v>354.43628165264124</v>
      </c>
    </row>
    <row r="98" spans="2:11" ht="15">
      <c r="B98" s="10">
        <f>DATE(Annee,11,1)</f>
        <v>40483</v>
      </c>
      <c r="C98" s="22">
        <v>274.9</v>
      </c>
      <c r="D98" s="16"/>
      <c r="E98" s="20" t="str">
        <f t="shared" si="22"/>
        <v>versement</v>
      </c>
      <c r="F98" s="11">
        <f t="shared" si="20"/>
        <v>16978.260472115257</v>
      </c>
      <c r="G98" s="38"/>
      <c r="H98" s="37">
        <v>4</v>
      </c>
      <c r="I98" s="12">
        <f t="shared" si="21"/>
        <v>0.0275</v>
      </c>
      <c r="J98" s="13">
        <f t="shared" si="24"/>
        <v>38.9085135819308</v>
      </c>
      <c r="K98" s="14">
        <f t="shared" si="23"/>
        <v>393.344795234572</v>
      </c>
    </row>
    <row r="99" spans="2:11" ht="15.75" thickBot="1">
      <c r="B99" s="10">
        <f>DATE(Annee,12,1)</f>
        <v>40513</v>
      </c>
      <c r="C99" s="22">
        <v>274.9</v>
      </c>
      <c r="D99" s="16"/>
      <c r="E99" s="20" t="str">
        <f t="shared" si="22"/>
        <v>versement</v>
      </c>
      <c r="F99" s="42">
        <f t="shared" si="20"/>
        <v>17253.160472115258</v>
      </c>
      <c r="G99" s="38"/>
      <c r="H99" s="37">
        <v>2</v>
      </c>
      <c r="I99" s="12">
        <f t="shared" si="21"/>
        <v>0.0275</v>
      </c>
      <c r="J99" s="13">
        <f t="shared" si="24"/>
        <v>39.53849274859747</v>
      </c>
      <c r="K99" s="14">
        <f t="shared" si="23"/>
        <v>432.8832879831695</v>
      </c>
    </row>
    <row r="100" spans="2:12" ht="15.75" thickBot="1">
      <c r="B100" s="17"/>
      <c r="C100" s="32"/>
      <c r="D100" s="18"/>
      <c r="E100" s="43" t="str">
        <f>"Capitalisation au "&amp;TEXT(DATE(Annee+4,12,31),"jj/mm/aaaa")</f>
        <v>Capitalisation au 31/12/2014</v>
      </c>
      <c r="F100" s="44">
        <f>F99+K99</f>
        <v>17686.043760098426</v>
      </c>
      <c r="H100" s="26"/>
      <c r="I100" s="47" t="s">
        <v>13</v>
      </c>
      <c r="J100" s="27"/>
      <c r="K100" s="45">
        <f>K99</f>
        <v>432.8832879831695</v>
      </c>
      <c r="L100" s="39"/>
    </row>
    <row r="101" ht="15">
      <c r="I101" s="34"/>
    </row>
    <row r="102" spans="1:5" ht="15.75">
      <c r="A102" s="21"/>
      <c r="E102" s="25"/>
    </row>
    <row r="103" ht="15.75" thickBot="1">
      <c r="F103" s="3"/>
    </row>
    <row r="104" spans="2:12" ht="15">
      <c r="B104" s="52" t="s">
        <v>4</v>
      </c>
      <c r="C104" s="53"/>
      <c r="D104" s="53"/>
      <c r="E104" s="53"/>
      <c r="F104" s="54"/>
      <c r="H104" s="49" t="s">
        <v>5</v>
      </c>
      <c r="I104" s="50"/>
      <c r="J104" s="50"/>
      <c r="K104" s="51"/>
      <c r="L104" s="39"/>
    </row>
    <row r="105" spans="1:11" ht="26.25">
      <c r="A105" s="7"/>
      <c r="B105" s="4" t="s">
        <v>10</v>
      </c>
      <c r="C105" s="5" t="s">
        <v>6</v>
      </c>
      <c r="D105" s="5" t="s">
        <v>7</v>
      </c>
      <c r="E105" s="5" t="s">
        <v>8</v>
      </c>
      <c r="F105" s="6" t="s">
        <v>9</v>
      </c>
      <c r="G105" s="41"/>
      <c r="H105" s="40" t="str">
        <f>"Coef / "&amp;ValPeriode</f>
        <v>Coef / </v>
      </c>
      <c r="I105" s="8" t="s">
        <v>7</v>
      </c>
      <c r="J105" s="8" t="s">
        <v>11</v>
      </c>
      <c r="K105" s="9" t="s">
        <v>12</v>
      </c>
    </row>
    <row r="106" spans="2:11" ht="15">
      <c r="B106" s="10">
        <f>DATE(Annee,1,1)</f>
        <v>40179</v>
      </c>
      <c r="C106" s="22">
        <v>274.9</v>
      </c>
      <c r="D106" s="23">
        <f>TauxDeb</f>
        <v>0.0275</v>
      </c>
      <c r="E106" s="19" t="str">
        <f>"Solde au "&amp;TEXT(DATE(Annee+5,1,1),"jj/mm/aaaa")</f>
        <v>Solde au 01/01/2015</v>
      </c>
      <c r="F106" s="11">
        <f>F100+C106</f>
        <v>17960.943760098427</v>
      </c>
      <c r="G106" s="38"/>
      <c r="H106" s="37">
        <v>24</v>
      </c>
      <c r="I106" s="12">
        <f>TauxDeb</f>
        <v>0.0275</v>
      </c>
      <c r="J106" s="13">
        <f>IF(H106&gt;19,F106*I106/12,0)</f>
        <v>41.160496116892226</v>
      </c>
      <c r="K106" s="14">
        <f>J106</f>
        <v>41.160496116892226</v>
      </c>
    </row>
    <row r="107" spans="2:11" ht="15">
      <c r="B107" s="10">
        <f>DATE(Annee,2,1)</f>
        <v>40210</v>
      </c>
      <c r="C107" s="22">
        <v>274.9</v>
      </c>
      <c r="D107" s="15"/>
      <c r="E107" s="20" t="str">
        <f>IF(C107&gt;0,"versement","retrait")</f>
        <v>versement</v>
      </c>
      <c r="F107" s="11">
        <f aca="true" t="shared" si="25" ref="F107:F117">F106+C107</f>
        <v>18235.84376009843</v>
      </c>
      <c r="G107" s="38"/>
      <c r="H107" s="37">
        <v>22</v>
      </c>
      <c r="I107" s="12">
        <f aca="true" t="shared" si="26" ref="I107:I117">IF(D107&gt;0,D107,I106)</f>
        <v>0.0275</v>
      </c>
      <c r="J107" s="13">
        <f>IF(H107&gt;19,F107*I107/12,0)</f>
        <v>41.7904752835589</v>
      </c>
      <c r="K107" s="14">
        <f>K106+J107</f>
        <v>82.95097140045112</v>
      </c>
    </row>
    <row r="108" spans="2:11" ht="15">
      <c r="B108" s="10">
        <f>DATE(Annee,3,1)</f>
        <v>40238</v>
      </c>
      <c r="C108" s="22">
        <v>274.9</v>
      </c>
      <c r="D108" s="16"/>
      <c r="E108" s="20" t="str">
        <f aca="true" t="shared" si="27" ref="E108:E117">IF(C108&gt;0,"versement","retrait")</f>
        <v>versement</v>
      </c>
      <c r="F108" s="11">
        <f t="shared" si="25"/>
        <v>18510.74376009843</v>
      </c>
      <c r="G108" s="38"/>
      <c r="H108" s="37">
        <v>20</v>
      </c>
      <c r="I108" s="12">
        <f t="shared" si="26"/>
        <v>0.0275</v>
      </c>
      <c r="J108" s="13">
        <f>IF(H108&gt;19,F108*I108/12,0)</f>
        <v>42.42045445022557</v>
      </c>
      <c r="K108" s="14">
        <f aca="true" t="shared" si="28" ref="K108:K117">K107+J108</f>
        <v>125.3714258506767</v>
      </c>
    </row>
    <row r="109" spans="2:11" ht="15">
      <c r="B109" s="10">
        <f>DATE(Annee,4,1)</f>
        <v>40269</v>
      </c>
      <c r="C109" s="22">
        <v>274.9</v>
      </c>
      <c r="D109" s="16"/>
      <c r="E109" s="20" t="str">
        <f t="shared" si="27"/>
        <v>versement</v>
      </c>
      <c r="F109" s="11">
        <f t="shared" si="25"/>
        <v>18785.64376009843</v>
      </c>
      <c r="G109" s="38"/>
      <c r="H109" s="37">
        <v>18</v>
      </c>
      <c r="I109" s="12">
        <f t="shared" si="26"/>
        <v>0.0275</v>
      </c>
      <c r="J109" s="13">
        <f aca="true" t="shared" si="29" ref="J109:J117">F109*I109/12</f>
        <v>43.05043361689224</v>
      </c>
      <c r="K109" s="14">
        <f t="shared" si="28"/>
        <v>168.42185946756894</v>
      </c>
    </row>
    <row r="110" spans="2:11" ht="15">
      <c r="B110" s="10">
        <f>DATE(Annee,5,1)</f>
        <v>40299</v>
      </c>
      <c r="C110" s="22">
        <v>274.9</v>
      </c>
      <c r="D110" s="16"/>
      <c r="E110" s="20" t="str">
        <f t="shared" si="27"/>
        <v>versement</v>
      </c>
      <c r="F110" s="11">
        <f t="shared" si="25"/>
        <v>19060.543760098433</v>
      </c>
      <c r="G110" s="38"/>
      <c r="H110" s="37">
        <v>16</v>
      </c>
      <c r="I110" s="12">
        <f t="shared" si="26"/>
        <v>0.0275</v>
      </c>
      <c r="J110" s="13">
        <f t="shared" si="29"/>
        <v>43.680412783558914</v>
      </c>
      <c r="K110" s="14">
        <f t="shared" si="28"/>
        <v>212.10227225112786</v>
      </c>
    </row>
    <row r="111" spans="2:11" ht="15">
      <c r="B111" s="10">
        <f>DATE(Annee,6,1)</f>
        <v>40330</v>
      </c>
      <c r="C111" s="22">
        <v>274.9</v>
      </c>
      <c r="D111" s="16"/>
      <c r="E111" s="20" t="str">
        <f t="shared" si="27"/>
        <v>versement</v>
      </c>
      <c r="F111" s="11">
        <f t="shared" si="25"/>
        <v>19335.443760098435</v>
      </c>
      <c r="G111" s="38"/>
      <c r="H111" s="37">
        <v>14</v>
      </c>
      <c r="I111" s="12">
        <f t="shared" si="26"/>
        <v>0.0275</v>
      </c>
      <c r="J111" s="13">
        <f t="shared" si="29"/>
        <v>44.31039195022558</v>
      </c>
      <c r="K111" s="14">
        <f t="shared" si="28"/>
        <v>256.41266420135344</v>
      </c>
    </row>
    <row r="112" spans="2:11" ht="15">
      <c r="B112" s="10">
        <f>DATE(Annee,7,1)</f>
        <v>40360</v>
      </c>
      <c r="C112" s="22">
        <v>274.9</v>
      </c>
      <c r="D112" s="16"/>
      <c r="E112" s="20" t="str">
        <f t="shared" si="27"/>
        <v>versement</v>
      </c>
      <c r="F112" s="11">
        <f t="shared" si="25"/>
        <v>19610.343760098436</v>
      </c>
      <c r="G112" s="38"/>
      <c r="H112" s="37">
        <v>12</v>
      </c>
      <c r="I112" s="12">
        <f t="shared" si="26"/>
        <v>0.0275</v>
      </c>
      <c r="J112" s="13">
        <f t="shared" si="29"/>
        <v>44.940371116892244</v>
      </c>
      <c r="K112" s="14">
        <f t="shared" si="28"/>
        <v>301.3530353182457</v>
      </c>
    </row>
    <row r="113" spans="2:11" ht="15">
      <c r="B113" s="10">
        <f>DATE(Annee,8,1)</f>
        <v>40391</v>
      </c>
      <c r="C113" s="22">
        <v>274.9</v>
      </c>
      <c r="D113" s="16"/>
      <c r="E113" s="20" t="str">
        <f t="shared" si="27"/>
        <v>versement</v>
      </c>
      <c r="F113" s="11">
        <f t="shared" si="25"/>
        <v>19885.243760098438</v>
      </c>
      <c r="G113" s="38"/>
      <c r="H113" s="37">
        <v>10</v>
      </c>
      <c r="I113" s="12">
        <f t="shared" si="26"/>
        <v>0.0275</v>
      </c>
      <c r="J113" s="13">
        <f t="shared" si="29"/>
        <v>45.57035028355892</v>
      </c>
      <c r="K113" s="14">
        <f t="shared" si="28"/>
        <v>346.9233856018046</v>
      </c>
    </row>
    <row r="114" spans="2:11" ht="15">
      <c r="B114" s="10">
        <f>DATE(Annee,9,1)</f>
        <v>40422</v>
      </c>
      <c r="C114" s="22">
        <v>274.9</v>
      </c>
      <c r="D114" s="16"/>
      <c r="E114" s="20" t="str">
        <f t="shared" si="27"/>
        <v>versement</v>
      </c>
      <c r="F114" s="11">
        <f t="shared" si="25"/>
        <v>20160.14376009844</v>
      </c>
      <c r="G114" s="38"/>
      <c r="H114" s="37">
        <v>8</v>
      </c>
      <c r="I114" s="12">
        <f t="shared" si="26"/>
        <v>0.0275</v>
      </c>
      <c r="J114" s="13">
        <f t="shared" si="29"/>
        <v>46.20032945022559</v>
      </c>
      <c r="K114" s="14">
        <f t="shared" si="28"/>
        <v>393.1237150520302</v>
      </c>
    </row>
    <row r="115" spans="2:11" ht="15">
      <c r="B115" s="10">
        <f>DATE(Annee,10,1)</f>
        <v>40452</v>
      </c>
      <c r="C115" s="22">
        <v>274.9</v>
      </c>
      <c r="D115" s="16"/>
      <c r="E115" s="20" t="str">
        <f t="shared" si="27"/>
        <v>versement</v>
      </c>
      <c r="F115" s="11">
        <f t="shared" si="25"/>
        <v>20435.04376009844</v>
      </c>
      <c r="G115" s="38"/>
      <c r="H115" s="37">
        <v>6</v>
      </c>
      <c r="I115" s="12">
        <f t="shared" si="26"/>
        <v>0.0275</v>
      </c>
      <c r="J115" s="13">
        <f t="shared" si="29"/>
        <v>46.83030861689226</v>
      </c>
      <c r="K115" s="14">
        <f t="shared" si="28"/>
        <v>439.95402366892245</v>
      </c>
    </row>
    <row r="116" spans="2:11" ht="15">
      <c r="B116" s="10">
        <f>DATE(Annee,11,1)</f>
        <v>40483</v>
      </c>
      <c r="C116" s="22">
        <v>274.9</v>
      </c>
      <c r="D116" s="16"/>
      <c r="E116" s="20" t="str">
        <f t="shared" si="27"/>
        <v>versement</v>
      </c>
      <c r="F116" s="11">
        <f t="shared" si="25"/>
        <v>20709.943760098442</v>
      </c>
      <c r="G116" s="38"/>
      <c r="H116" s="37">
        <v>4</v>
      </c>
      <c r="I116" s="12">
        <f t="shared" si="26"/>
        <v>0.0275</v>
      </c>
      <c r="J116" s="13">
        <f t="shared" si="29"/>
        <v>47.460287783558925</v>
      </c>
      <c r="K116" s="14">
        <f t="shared" si="28"/>
        <v>487.41431145248134</v>
      </c>
    </row>
    <row r="117" spans="2:11" ht="15.75" thickBot="1">
      <c r="B117" s="10">
        <f>DATE(Annee,12,1)</f>
        <v>40513</v>
      </c>
      <c r="C117" s="22">
        <v>274.9</v>
      </c>
      <c r="D117" s="16"/>
      <c r="E117" s="20" t="str">
        <f t="shared" si="27"/>
        <v>versement</v>
      </c>
      <c r="F117" s="42">
        <f t="shared" si="25"/>
        <v>20984.843760098443</v>
      </c>
      <c r="G117" s="38"/>
      <c r="H117" s="37">
        <v>2</v>
      </c>
      <c r="I117" s="12">
        <f t="shared" si="26"/>
        <v>0.0275</v>
      </c>
      <c r="J117" s="13">
        <f t="shared" si="29"/>
        <v>48.090266950225605</v>
      </c>
      <c r="K117" s="14">
        <f t="shared" si="28"/>
        <v>535.5045784027069</v>
      </c>
    </row>
    <row r="118" spans="2:11" ht="15.75" thickBot="1">
      <c r="B118" s="17"/>
      <c r="C118" s="32"/>
      <c r="D118" s="18"/>
      <c r="E118" s="43" t="str">
        <f>"Capitalisation au "&amp;TEXT(DATE(Annee+5,12,31),"jj/mm/aaaa")</f>
        <v>Capitalisation au 31/12/2015</v>
      </c>
      <c r="F118" s="44">
        <f>F117+K117</f>
        <v>21520.34833850115</v>
      </c>
      <c r="H118" s="26"/>
      <c r="I118" s="47" t="s">
        <v>13</v>
      </c>
      <c r="J118" s="27"/>
      <c r="K118" s="48">
        <f>K117</f>
        <v>535.5045784027069</v>
      </c>
    </row>
    <row r="119" ht="15">
      <c r="I119" s="34"/>
    </row>
    <row r="120" ht="15">
      <c r="E120" s="25"/>
    </row>
  </sheetData>
  <sheetProtection/>
  <mergeCells count="15">
    <mergeCell ref="B68:F68"/>
    <mergeCell ref="H68:K68"/>
    <mergeCell ref="B86:F86"/>
    <mergeCell ref="H86:K86"/>
    <mergeCell ref="B104:F104"/>
    <mergeCell ref="H104:K104"/>
    <mergeCell ref="H14:K14"/>
    <mergeCell ref="B32:F32"/>
    <mergeCell ref="H32:K32"/>
    <mergeCell ref="B50:F50"/>
    <mergeCell ref="H50:K50"/>
    <mergeCell ref="E5:F5"/>
    <mergeCell ref="C11:F11"/>
    <mergeCell ref="C12:F12"/>
    <mergeCell ref="B14:F14"/>
  </mergeCells>
  <conditionalFormatting sqref="F16:F28 F34:F46 F52:F64 F70:F82 F88:F100 F106:F118">
    <cfRule type="expression" priority="31" dxfId="16" stopIfTrue="1">
      <formula>AND(NOT(ISBLANK(SoldeMini)),(F16&lt;SoldeMini))</formula>
    </cfRule>
    <cfRule type="expression" priority="32" dxfId="16" stopIfTrue="1">
      <formula>AND(NOT(ISBLANK(SoldeMaxi)),(F16&gt;SoldeMaxi))</formula>
    </cfRule>
  </conditionalFormatting>
  <conditionalFormatting sqref="B35:B45">
    <cfRule type="expression" priority="30" dxfId="0" stopIfTrue="1">
      <formula>AND(ISBLANK(B35),OR(NOT(ISBLANK(C35)),NOT(ISBLANK(D35))))</formula>
    </cfRule>
  </conditionalFormatting>
  <conditionalFormatting sqref="B53:B63">
    <cfRule type="expression" priority="27" dxfId="0" stopIfTrue="1">
      <formula>AND(ISBLANK(B53),OR(NOT(ISBLANK(C53)),NOT(ISBLANK(D53))))</formula>
    </cfRule>
  </conditionalFormatting>
  <conditionalFormatting sqref="B71:B81">
    <cfRule type="expression" priority="24" dxfId="0" stopIfTrue="1">
      <formula>AND(ISBLANK(B71),OR(NOT(ISBLANK(C71)),NOT(ISBLANK(D71))))</formula>
    </cfRule>
  </conditionalFormatting>
  <conditionalFormatting sqref="B89:B99">
    <cfRule type="expression" priority="21" dxfId="0" stopIfTrue="1">
      <formula>AND(ISBLANK(B89),OR(NOT(ISBLANK(C89)),NOT(ISBLANK(D89))))</formula>
    </cfRule>
  </conditionalFormatting>
  <conditionalFormatting sqref="B53:B63">
    <cfRule type="expression" priority="18" dxfId="0" stopIfTrue="1">
      <formula>AND(ISBLANK(B53),OR(NOT(ISBLANK(C53)),NOT(ISBLANK(D53))))</formula>
    </cfRule>
  </conditionalFormatting>
  <conditionalFormatting sqref="B71:B81">
    <cfRule type="expression" priority="15" dxfId="0" stopIfTrue="1">
      <formula>AND(ISBLANK(B71),OR(NOT(ISBLANK(C71)),NOT(ISBLANK(D71))))</formula>
    </cfRule>
  </conditionalFormatting>
  <conditionalFormatting sqref="B89:B99">
    <cfRule type="expression" priority="12" dxfId="0" stopIfTrue="1">
      <formula>AND(ISBLANK(B89),OR(NOT(ISBLANK(C89)),NOT(ISBLANK(D89))))</formula>
    </cfRule>
  </conditionalFormatting>
  <conditionalFormatting sqref="B107:B117">
    <cfRule type="expression" priority="9" dxfId="0" stopIfTrue="1">
      <formula>AND(ISBLANK(B107),OR(NOT(ISBLANK(C107)),NOT(ISBLANK(D107))))</formula>
    </cfRule>
  </conditionalFormatting>
  <conditionalFormatting sqref="B71:B81">
    <cfRule type="expression" priority="6" dxfId="0" stopIfTrue="1">
      <formula>AND(ISBLANK(B71),OR(NOT(ISBLANK(C71)),NOT(ISBLANK(D71))))</formula>
    </cfRule>
  </conditionalFormatting>
  <conditionalFormatting sqref="B89:B99">
    <cfRule type="expression" priority="5" dxfId="0" stopIfTrue="1">
      <formula>AND(ISBLANK(B89),OR(NOT(ISBLANK(C89)),NOT(ISBLANK(D89))))</formula>
    </cfRule>
  </conditionalFormatting>
  <conditionalFormatting sqref="B107:B117">
    <cfRule type="expression" priority="4" dxfId="0" stopIfTrue="1">
      <formula>AND(ISBLANK(B107),OR(NOT(ISBLANK(C107)),NOT(ISBLANK(D107))))</formula>
    </cfRule>
  </conditionalFormatting>
  <conditionalFormatting sqref="B89:B99">
    <cfRule type="expression" priority="3" dxfId="0" stopIfTrue="1">
      <formula>AND(ISBLANK(B89),OR(NOT(ISBLANK(C89)),NOT(ISBLANK(D89))))</formula>
    </cfRule>
  </conditionalFormatting>
  <conditionalFormatting sqref="B107:B117">
    <cfRule type="expression" priority="2" dxfId="0" stopIfTrue="1">
      <formula>AND(ISBLANK(B107),OR(NOT(ISBLANK(C107)),NOT(ISBLANK(D107))))</formula>
    </cfRule>
  </conditionalFormatting>
  <conditionalFormatting sqref="B107:B117">
    <cfRule type="expression" priority="1" dxfId="0" stopIfTrue="1">
      <formula>AND(ISBLANK(B107),OR(NOT(ISBLANK(C107)),NOT(ISBLANK(D107))))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  <oleObjects>
    <oleObject progId="Word.Document.12" shapeId="41898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Matthieu</dc:creator>
  <cp:keywords/>
  <dc:description/>
  <cp:lastModifiedBy>Matthieu</cp:lastModifiedBy>
  <dcterms:created xsi:type="dcterms:W3CDTF">2009-04-11T08:23:43Z</dcterms:created>
  <dcterms:modified xsi:type="dcterms:W3CDTF">2010-08-13T17:53:59Z</dcterms:modified>
  <cp:category/>
  <cp:version/>
  <cp:contentType/>
  <cp:contentStatus/>
</cp:coreProperties>
</file>